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8" activeTab="0"/>
  </bookViews>
  <sheets>
    <sheet name="NECESIDADES VENTILACIÓN RITE" sheetId="1" r:id="rId1"/>
    <sheet name="IMPULSIÓN-RETONOR PRIMARIO" sheetId="2" r:id="rId2"/>
    <sheet name="EXTRACCCIÓN ASEO" sheetId="3" r:id="rId3"/>
    <sheet name="IMPULSIÓN ASEOS" sheetId="4" r:id="rId4"/>
  </sheets>
  <definedNames/>
  <calcPr fullCalcOnLoad="1"/>
</workbook>
</file>

<file path=xl/sharedStrings.xml><?xml version="1.0" encoding="utf-8"?>
<sst xmlns="http://schemas.openxmlformats.org/spreadsheetml/2006/main" count="403" uniqueCount="131">
  <si>
    <t xml:space="preserve">NECESIDADES DE VENTILACIÓN </t>
  </si>
  <si>
    <t>RITE</t>
  </si>
  <si>
    <t>LOCAL/ZONA</t>
  </si>
  <si>
    <t>PLANTA</t>
  </si>
  <si>
    <t>SUPERF.</t>
  </si>
  <si>
    <t>DENSIDAD</t>
  </si>
  <si>
    <t>OCUPACIÓN</t>
  </si>
  <si>
    <t>CAI</t>
  </si>
  <si>
    <t>CAUDAL MIN.</t>
  </si>
  <si>
    <t>CAUDAL TOTAL</t>
  </si>
  <si>
    <t>CAE</t>
  </si>
  <si>
    <t>CLASE DE</t>
  </si>
  <si>
    <t>LOCAL</t>
  </si>
  <si>
    <t>AIRE VENTILAC.</t>
  </si>
  <si>
    <t>FILTRACIÓN</t>
  </si>
  <si>
    <t>(m²)</t>
  </si>
  <si>
    <t>(personas/m²)</t>
  </si>
  <si>
    <t>(personas)</t>
  </si>
  <si>
    <t>(dm³/s persona)</t>
  </si>
  <si>
    <t>(m³/h)</t>
  </si>
  <si>
    <t>(dm³/s pieza sanitaria)</t>
  </si>
  <si>
    <r>
      <t>(dm³/s m</t>
    </r>
    <r>
      <rPr>
        <sz val="7"/>
        <rFont val="Arial"/>
        <family val="2"/>
      </rPr>
      <t>²</t>
    </r>
    <r>
      <rPr>
        <sz val="7"/>
        <rFont val="Century Gothic"/>
        <family val="2"/>
      </rPr>
      <t>)</t>
    </r>
  </si>
  <si>
    <t>IDA 3</t>
  </si>
  <si>
    <t>UNE</t>
  </si>
  <si>
    <r>
      <t>IDAE: Según establece la guía técnica del IDAE, para locales de servicio se establece un caudal de aire de 2 l/s por m</t>
    </r>
    <r>
      <rPr>
        <sz val="6"/>
        <rFont val="Arial"/>
        <family val="2"/>
      </rPr>
      <t>²</t>
    </r>
  </si>
  <si>
    <t>Material:</t>
  </si>
  <si>
    <t>Ursa</t>
  </si>
  <si>
    <t>Velocidad inicial de cálculo:</t>
  </si>
  <si>
    <t>m/s</t>
  </si>
  <si>
    <t>TRAMO</t>
  </si>
  <si>
    <t>CAUDAL</t>
  </si>
  <si>
    <t>SECCION</t>
  </si>
  <si>
    <t>DIMENSION</t>
  </si>
  <si>
    <t>D.C.E.</t>
  </si>
  <si>
    <t>Dh</t>
  </si>
  <si>
    <t>VELOC.</t>
  </si>
  <si>
    <t>Re</t>
  </si>
  <si>
    <t>f1</t>
  </si>
  <si>
    <t>f</t>
  </si>
  <si>
    <t>LONG.</t>
  </si>
  <si>
    <t>Nº</t>
  </si>
  <si>
    <t>f,roz</t>
  </si>
  <si>
    <t>R.J.</t>
  </si>
  <si>
    <t>PERD. U</t>
  </si>
  <si>
    <t>PERD.</t>
  </si>
  <si>
    <t>PERD. ACC</t>
  </si>
  <si>
    <t>PERD. RJ.</t>
  </si>
  <si>
    <t>P.T</t>
  </si>
  <si>
    <t>DESARR.</t>
  </si>
  <si>
    <t>IN.</t>
  </si>
  <si>
    <t>FIN.</t>
  </si>
  <si>
    <t>m³/h</t>
  </si>
  <si>
    <t>mm²</t>
  </si>
  <si>
    <t>A (mm)</t>
  </si>
  <si>
    <t>B (mm)</t>
  </si>
  <si>
    <t>mm</t>
  </si>
  <si>
    <t>m</t>
  </si>
  <si>
    <t>CODOS</t>
  </si>
  <si>
    <t>RJ</t>
  </si>
  <si>
    <t>Codos</t>
  </si>
  <si>
    <t>mm c.d.a</t>
  </si>
  <si>
    <t>mmcda/m</t>
  </si>
  <si>
    <t>mm c.d.a.</t>
  </si>
  <si>
    <t>m²</t>
  </si>
  <si>
    <t>perdida total conductos</t>
  </si>
  <si>
    <t>perdida inserción</t>
  </si>
  <si>
    <t>VENTILADOR</t>
  </si>
  <si>
    <t>CONDUCTOS:</t>
  </si>
  <si>
    <t>TIPO DE CONDUCTO:</t>
  </si>
  <si>
    <t>CALC. "B"</t>
  </si>
  <si>
    <t>Dimensión B del conducto obtenida por cálculo, fijada la dimensión A</t>
  </si>
  <si>
    <t xml:space="preserve">Diámetro circular equivalente, según la ecuación de Huebscher (UNE 100-230-95) </t>
  </si>
  <si>
    <t>Diámetro hidráulico para un conducto de sección rectangular, en m (UNE 100-101-84)</t>
  </si>
  <si>
    <t>Velocidad del aire en el conducto de dimensiones AxB</t>
  </si>
  <si>
    <t>Número de Reynolds</t>
  </si>
  <si>
    <t>Factor de fricción para condcuto de acero galvanizado, según la ecuación de Altshul-Tsal (UNE 100-230-95)</t>
  </si>
  <si>
    <t>F</t>
  </si>
  <si>
    <t>Factor de fricción corregido (UNE 100-230-95)</t>
  </si>
  <si>
    <t>Longitud del conducto, en m.</t>
  </si>
  <si>
    <t>Nº CODOS</t>
  </si>
  <si>
    <t>Número de codos en el tramo de conducto de cálculo (Ver nota A)</t>
  </si>
  <si>
    <t>N RJ</t>
  </si>
  <si>
    <t>Número de rejillas en el tramo de conducto considerado</t>
  </si>
  <si>
    <t>f,roz Codo</t>
  </si>
  <si>
    <t>Factor de rozamiento en codos, según relación b/a (adimensional)</t>
  </si>
  <si>
    <t>Pérdida de carga en rejillas, en mm c.d.a.</t>
  </si>
  <si>
    <t>Pérdida de carga en el conducto, en mm c.d.a. (UNE 100-230-95)</t>
  </si>
  <si>
    <t>Pérdida de carga en accesorios en el tramo considerado, en mm c.d.a.</t>
  </si>
  <si>
    <t>PERD. RJ</t>
  </si>
  <si>
    <t>Pérdida total debida a rejillas en el tramo considerado, en mm c.d.a.</t>
  </si>
  <si>
    <t>P.T.</t>
  </si>
  <si>
    <t>Pérdida de carga total en el tramo considerado, en mm c.d.a.</t>
  </si>
  <si>
    <t>M² de Chapa en conducto, considerándo un 10% perdido</t>
  </si>
  <si>
    <t>Nota A: En en caso de derivaciones en T, para la pérdida de carga se ha tomado como un codo asociado al tramo del conducto en cálculo</t>
  </si>
  <si>
    <t>CHAPA</t>
  </si>
  <si>
    <t>G4+F7</t>
  </si>
  <si>
    <t>DESPACHO 3</t>
  </si>
  <si>
    <t>DESPACHO 4</t>
  </si>
  <si>
    <t>ASEO HOMBRES</t>
  </si>
  <si>
    <t>NIVEL 0</t>
  </si>
  <si>
    <t>IDA 2</t>
  </si>
  <si>
    <t>DESPACHO 1</t>
  </si>
  <si>
    <t>DESPACHO 2</t>
  </si>
  <si>
    <t>ASEO MUJERES/ADAPTADO</t>
  </si>
  <si>
    <t>DESPACHO 5</t>
  </si>
  <si>
    <t>NIVEL 1</t>
  </si>
  <si>
    <t>DESPACHO 6</t>
  </si>
  <si>
    <t>DESPACHO 7</t>
  </si>
  <si>
    <t>DESPACHO 8</t>
  </si>
  <si>
    <t>DESPACHO 9</t>
  </si>
  <si>
    <t>DESPACHO 10</t>
  </si>
  <si>
    <t>DESPACHO 11</t>
  </si>
  <si>
    <t>ASEO MUJERES</t>
  </si>
  <si>
    <t>DESPACHO 12</t>
  </si>
  <si>
    <t>NIVEL 2</t>
  </si>
  <si>
    <t>DESPACHO 13</t>
  </si>
  <si>
    <t>DESPACHO 14</t>
  </si>
  <si>
    <t>SALA MULTIUSOS 1</t>
  </si>
  <si>
    <t>SALA MULTIUSOS 2</t>
  </si>
  <si>
    <t>OFIICE</t>
  </si>
  <si>
    <t>ZONA DE DESCANSO</t>
  </si>
  <si>
    <t>ASEOS HOMBRES</t>
  </si>
  <si>
    <t>CUARTO INSTALACIONES</t>
  </si>
  <si>
    <t>EXTRACCION ASEOS</t>
  </si>
  <si>
    <t>IMPULSION ASEOS</t>
  </si>
  <si>
    <t>Lana de vidrio</t>
  </si>
  <si>
    <t>AIRE PRIMARIO - IMPULSION</t>
  </si>
  <si>
    <t>Chapa</t>
  </si>
  <si>
    <t>NULA</t>
  </si>
  <si>
    <t>IDAE</t>
  </si>
  <si>
    <t>---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</si>
</sst>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4">
    <font>
      <sz val="10"/>
      <name val="Arial"/>
      <family val="2"/>
    </font>
    <font>
      <sz val="7"/>
      <name val="Century Gothic"/>
      <family val="2"/>
    </font>
    <font>
      <sz val="7"/>
      <name val="Arial"/>
      <family val="2"/>
    </font>
    <font>
      <b/>
      <sz val="7"/>
      <name val="Century Gothic"/>
      <family val="2"/>
    </font>
    <font>
      <b/>
      <sz val="7"/>
      <name val="Arial"/>
      <family val="2"/>
    </font>
    <font>
      <sz val="6"/>
      <name val="Century Gothic"/>
      <family val="2"/>
    </font>
    <font>
      <sz val="6"/>
      <name val="Arial"/>
      <family val="2"/>
    </font>
    <font>
      <sz val="8"/>
      <name val="Century Gothic"/>
      <family val="2"/>
    </font>
    <font>
      <sz val="8"/>
      <color indexed="12"/>
      <name val="Century Gothic"/>
      <family val="2"/>
    </font>
    <font>
      <b/>
      <sz val="6"/>
      <name val="Century Gothic"/>
      <family val="2"/>
    </font>
    <font>
      <sz val="6"/>
      <color indexed="12"/>
      <name val="Century Gothic"/>
      <family val="2"/>
    </font>
    <font>
      <sz val="8"/>
      <name val="Arial"/>
      <family val="2"/>
    </font>
    <font>
      <u val="single"/>
      <sz val="14.5"/>
      <color indexed="12"/>
      <name val="Arial"/>
      <family val="2"/>
    </font>
    <font>
      <u val="single"/>
      <sz val="14.5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2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3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4" fontId="5" fillId="4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3" fontId="5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2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zoomScale="145" zoomScaleNormal="145" workbookViewId="0" topLeftCell="A1">
      <selection activeCell="A8" sqref="A8:J32"/>
    </sheetView>
  </sheetViews>
  <sheetFormatPr defaultColWidth="11.421875" defaultRowHeight="12.75"/>
  <cols>
    <col min="1" max="1" width="20.00390625" style="1" customWidth="1"/>
    <col min="2" max="2" width="6.57421875" style="2" customWidth="1"/>
    <col min="3" max="3" width="6.7109375" style="2" customWidth="1"/>
    <col min="4" max="4" width="10.140625" style="2" customWidth="1"/>
    <col min="5" max="5" width="9.7109375" style="2" customWidth="1"/>
    <col min="6" max="6" width="4.28125" style="3" customWidth="1"/>
    <col min="7" max="7" width="11.57421875" style="3" customWidth="1"/>
    <col min="8" max="8" width="11.28125" style="4" customWidth="1"/>
    <col min="9" max="9" width="5.140625" style="3" customWidth="1"/>
    <col min="10" max="10" width="9.00390625" style="3" customWidth="1"/>
    <col min="11" max="254" width="11.421875" style="2" customWidth="1"/>
    <col min="255" max="16384" width="11.421875" style="5" customWidth="1"/>
  </cols>
  <sheetData>
    <row r="1" spans="1:10" ht="17.25" customHeight="1">
      <c r="A1" s="10" t="s">
        <v>0</v>
      </c>
      <c r="D1" s="3"/>
      <c r="J1" s="11" t="s">
        <v>1</v>
      </c>
    </row>
    <row r="2" spans="1:255" s="9" customFormat="1" ht="12" customHeight="1">
      <c r="A2" s="12"/>
      <c r="B2" s="13"/>
      <c r="C2" s="13"/>
      <c r="D2" s="14"/>
      <c r="E2" s="6"/>
      <c r="F2" s="7"/>
      <c r="G2" s="6"/>
      <c r="H2" s="8"/>
      <c r="I2" s="6"/>
      <c r="J2" s="6"/>
      <c r="IU2" s="5"/>
    </row>
    <row r="3" spans="1:255" s="9" customFormat="1" ht="12" customHeight="1">
      <c r="A3" s="15" t="s">
        <v>2</v>
      </c>
      <c r="B3" s="16" t="s">
        <v>3</v>
      </c>
      <c r="C3" s="17" t="s">
        <v>4</v>
      </c>
      <c r="D3" s="16" t="s">
        <v>5</v>
      </c>
      <c r="E3" s="18" t="s">
        <v>6</v>
      </c>
      <c r="F3" s="19" t="s">
        <v>7</v>
      </c>
      <c r="G3" s="18" t="s">
        <v>8</v>
      </c>
      <c r="H3" s="20" t="s">
        <v>9</v>
      </c>
      <c r="I3" s="18" t="s">
        <v>10</v>
      </c>
      <c r="J3" s="18" t="s">
        <v>11</v>
      </c>
      <c r="IU3" s="5"/>
    </row>
    <row r="4" spans="1:255" s="9" customFormat="1" ht="12" customHeight="1">
      <c r="A4" s="15"/>
      <c r="B4" s="16"/>
      <c r="C4" s="16" t="s">
        <v>12</v>
      </c>
      <c r="D4" s="16" t="s">
        <v>6</v>
      </c>
      <c r="E4" s="16"/>
      <c r="F4" s="21"/>
      <c r="G4" s="16" t="s">
        <v>13</v>
      </c>
      <c r="H4" s="22" t="s">
        <v>13</v>
      </c>
      <c r="I4" s="16"/>
      <c r="J4" s="16" t="s">
        <v>14</v>
      </c>
      <c r="IU4" s="5"/>
    </row>
    <row r="5" spans="1:255" s="9" customFormat="1" ht="12" customHeight="1">
      <c r="A5" s="15"/>
      <c r="B5" s="16"/>
      <c r="C5" s="17" t="s">
        <v>15</v>
      </c>
      <c r="D5" s="16" t="s">
        <v>16</v>
      </c>
      <c r="E5" s="16" t="s">
        <v>17</v>
      </c>
      <c r="F5" s="21"/>
      <c r="G5" s="16" t="s">
        <v>18</v>
      </c>
      <c r="H5" s="22" t="s">
        <v>19</v>
      </c>
      <c r="I5" s="16"/>
      <c r="J5" s="16"/>
      <c r="IU5" s="5"/>
    </row>
    <row r="6" spans="1:255" s="9" customFormat="1" ht="12" customHeight="1">
      <c r="A6" s="15"/>
      <c r="B6" s="16"/>
      <c r="C6" s="16"/>
      <c r="D6" s="16"/>
      <c r="E6" s="16"/>
      <c r="F6" s="16"/>
      <c r="G6" s="16" t="s">
        <v>20</v>
      </c>
      <c r="H6" s="16"/>
      <c r="I6" s="16"/>
      <c r="J6" s="16"/>
      <c r="IU6" s="5"/>
    </row>
    <row r="7" spans="1:255" s="9" customFormat="1" ht="12" customHeight="1">
      <c r="A7" s="23"/>
      <c r="B7" s="24"/>
      <c r="C7" s="24"/>
      <c r="D7" s="24"/>
      <c r="E7" s="24"/>
      <c r="F7" s="24"/>
      <c r="G7" s="24" t="s">
        <v>21</v>
      </c>
      <c r="H7" s="24"/>
      <c r="I7" s="24"/>
      <c r="J7" s="24"/>
      <c r="IU7" s="5"/>
    </row>
    <row r="8" spans="1:10" ht="12" customHeight="1">
      <c r="A8" s="97" t="s">
        <v>101</v>
      </c>
      <c r="B8" s="98" t="s">
        <v>99</v>
      </c>
      <c r="C8" s="99">
        <v>43.6</v>
      </c>
      <c r="D8" s="100">
        <v>10</v>
      </c>
      <c r="E8" s="101">
        <v>4</v>
      </c>
      <c r="F8" s="102" t="s">
        <v>100</v>
      </c>
      <c r="G8" s="101">
        <f>IF(F8="IDAE",2,IF(F8="IDA 1",20,IF(F8="IDA 2",12.5,IF(F8="IDA 3",8,IF(F8="IDA 4",5)))))</f>
        <v>12.5</v>
      </c>
      <c r="H8" s="103">
        <f>G8*E8*3.6</f>
        <v>180</v>
      </c>
      <c r="I8" s="102"/>
      <c r="J8" s="102" t="s">
        <v>95</v>
      </c>
    </row>
    <row r="9" spans="1:10" ht="12" customHeight="1">
      <c r="A9" s="87" t="s">
        <v>102</v>
      </c>
      <c r="B9" s="25" t="s">
        <v>99</v>
      </c>
      <c r="C9" s="88">
        <v>65.1</v>
      </c>
      <c r="D9" s="89">
        <v>10</v>
      </c>
      <c r="E9" s="26">
        <v>2</v>
      </c>
      <c r="F9" s="27" t="s">
        <v>100</v>
      </c>
      <c r="G9" s="26">
        <f>IF(F9="IDAE",2,IF(F9="IDA 1",20,IF(F9="IDA 2",12.5,IF(F9="IDA 3",8,IF(F9="IDA 4",5)))))</f>
        <v>12.5</v>
      </c>
      <c r="H9" s="28">
        <f>G9*E9*3.6</f>
        <v>90</v>
      </c>
      <c r="I9" s="26"/>
      <c r="J9" s="104" t="s">
        <v>95</v>
      </c>
    </row>
    <row r="10" spans="1:10" ht="12" customHeight="1">
      <c r="A10" s="87" t="s">
        <v>96</v>
      </c>
      <c r="B10" s="25" t="s">
        <v>99</v>
      </c>
      <c r="C10" s="88">
        <v>19.1</v>
      </c>
      <c r="D10" s="89">
        <v>10</v>
      </c>
      <c r="E10" s="26">
        <v>2</v>
      </c>
      <c r="F10" s="104" t="s">
        <v>100</v>
      </c>
      <c r="G10" s="26">
        <f>IF(F10="IDAE",2,IF(F10="IDA 1",20,IF(F10="IDA 2",12.5,IF(F10="IDA 3",8,IF(F10="IDA 4",5)))))</f>
        <v>12.5</v>
      </c>
      <c r="H10" s="28">
        <f>G10*E10*3.6</f>
        <v>90</v>
      </c>
      <c r="I10" s="104"/>
      <c r="J10" s="104" t="s">
        <v>95</v>
      </c>
    </row>
    <row r="11" spans="1:10" ht="12" customHeight="1">
      <c r="A11" s="87" t="s">
        <v>97</v>
      </c>
      <c r="B11" s="25" t="s">
        <v>99</v>
      </c>
      <c r="C11" s="88">
        <v>23.7</v>
      </c>
      <c r="D11" s="89">
        <v>10</v>
      </c>
      <c r="E11" s="26">
        <v>2</v>
      </c>
      <c r="F11" s="104" t="s">
        <v>100</v>
      </c>
      <c r="G11" s="26">
        <f>IF(F11="IDAE",2,IF(F11="IDA 1",20,IF(F11="IDA 2",12.5,IF(F11="IDA 3",8,IF(F11="IDA 4",5)))))</f>
        <v>12.5</v>
      </c>
      <c r="H11" s="28">
        <f>G11*E11*3.6</f>
        <v>90</v>
      </c>
      <c r="I11" s="104"/>
      <c r="J11" s="104" t="s">
        <v>95</v>
      </c>
    </row>
    <row r="12" spans="1:10" ht="12" customHeight="1">
      <c r="A12" s="87" t="s">
        <v>103</v>
      </c>
      <c r="B12" s="25" t="s">
        <v>99</v>
      </c>
      <c r="C12" s="88">
        <v>8.81</v>
      </c>
      <c r="D12" s="26">
        <v>3</v>
      </c>
      <c r="E12" s="26">
        <v>1</v>
      </c>
      <c r="F12" s="104" t="s">
        <v>23</v>
      </c>
      <c r="G12" s="26">
        <v>25</v>
      </c>
      <c r="H12" s="28">
        <f>G12*E12*3.6</f>
        <v>90</v>
      </c>
      <c r="I12" s="104"/>
      <c r="J12" s="105" t="s">
        <v>130</v>
      </c>
    </row>
    <row r="13" spans="1:10" ht="12" customHeight="1">
      <c r="A13" s="87" t="s">
        <v>98</v>
      </c>
      <c r="B13" s="25" t="s">
        <v>99</v>
      </c>
      <c r="C13" s="88">
        <v>8.61</v>
      </c>
      <c r="D13" s="26">
        <v>3</v>
      </c>
      <c r="E13" s="26">
        <v>3</v>
      </c>
      <c r="F13" s="28" t="s">
        <v>23</v>
      </c>
      <c r="G13" s="26">
        <v>25</v>
      </c>
      <c r="H13" s="28">
        <v>360</v>
      </c>
      <c r="I13" s="104"/>
      <c r="J13" s="105" t="s">
        <v>130</v>
      </c>
    </row>
    <row r="14" spans="1:10" ht="12" customHeight="1">
      <c r="A14" s="87" t="s">
        <v>104</v>
      </c>
      <c r="B14" s="25" t="s">
        <v>105</v>
      </c>
      <c r="C14" s="88">
        <v>19.55</v>
      </c>
      <c r="D14" s="89">
        <v>10</v>
      </c>
      <c r="E14" s="26">
        <v>2</v>
      </c>
      <c r="F14" s="104" t="s">
        <v>100</v>
      </c>
      <c r="G14" s="26">
        <f aca="true" t="shared" si="0" ref="G14:G20">IF(F14="IDAE",2,IF(F14="IDA 1",20,IF(F14="IDA 2",12.5,IF(F14="IDA 3",8,IF(F14="IDA 4",5)))))</f>
        <v>12.5</v>
      </c>
      <c r="H14" s="28">
        <f aca="true" t="shared" si="1" ref="H14:H20">G14*E14*3.6</f>
        <v>90</v>
      </c>
      <c r="I14" s="104"/>
      <c r="J14" s="104" t="s">
        <v>95</v>
      </c>
    </row>
    <row r="15" spans="1:10" ht="12" customHeight="1">
      <c r="A15" s="87" t="s">
        <v>106</v>
      </c>
      <c r="B15" s="25" t="s">
        <v>105</v>
      </c>
      <c r="C15" s="88">
        <v>20.8</v>
      </c>
      <c r="D15" s="89">
        <v>10</v>
      </c>
      <c r="E15" s="26">
        <v>2</v>
      </c>
      <c r="F15" s="104" t="s">
        <v>100</v>
      </c>
      <c r="G15" s="26">
        <f t="shared" si="0"/>
        <v>12.5</v>
      </c>
      <c r="H15" s="28">
        <f t="shared" si="1"/>
        <v>90</v>
      </c>
      <c r="I15" s="104"/>
      <c r="J15" s="104" t="s">
        <v>95</v>
      </c>
    </row>
    <row r="16" spans="1:10" ht="12" customHeight="1">
      <c r="A16" s="87" t="s">
        <v>107</v>
      </c>
      <c r="B16" s="25" t="s">
        <v>105</v>
      </c>
      <c r="C16" s="88">
        <v>22.05</v>
      </c>
      <c r="D16" s="89">
        <v>10</v>
      </c>
      <c r="E16" s="26">
        <v>2</v>
      </c>
      <c r="F16" s="104" t="s">
        <v>100</v>
      </c>
      <c r="G16" s="26">
        <f t="shared" si="0"/>
        <v>12.5</v>
      </c>
      <c r="H16" s="28">
        <f t="shared" si="1"/>
        <v>90</v>
      </c>
      <c r="I16" s="104"/>
      <c r="J16" s="104" t="s">
        <v>95</v>
      </c>
    </row>
    <row r="17" spans="1:10" ht="12" customHeight="1">
      <c r="A17" s="87" t="s">
        <v>108</v>
      </c>
      <c r="B17" s="25" t="s">
        <v>105</v>
      </c>
      <c r="C17" s="88">
        <v>23.3</v>
      </c>
      <c r="D17" s="89">
        <v>10</v>
      </c>
      <c r="E17" s="26">
        <v>2</v>
      </c>
      <c r="F17" s="104" t="s">
        <v>100</v>
      </c>
      <c r="G17" s="26">
        <f t="shared" si="0"/>
        <v>12.5</v>
      </c>
      <c r="H17" s="28">
        <f t="shared" si="1"/>
        <v>90</v>
      </c>
      <c r="I17" s="104"/>
      <c r="J17" s="104" t="s">
        <v>95</v>
      </c>
    </row>
    <row r="18" spans="1:10" ht="12" customHeight="1">
      <c r="A18" s="87" t="s">
        <v>109</v>
      </c>
      <c r="B18" s="25" t="s">
        <v>105</v>
      </c>
      <c r="C18" s="88">
        <v>19.7</v>
      </c>
      <c r="D18" s="89">
        <v>10</v>
      </c>
      <c r="E18" s="26">
        <v>2</v>
      </c>
      <c r="F18" s="104" t="s">
        <v>100</v>
      </c>
      <c r="G18" s="26">
        <f t="shared" si="0"/>
        <v>12.5</v>
      </c>
      <c r="H18" s="28">
        <f t="shared" si="1"/>
        <v>90</v>
      </c>
      <c r="I18" s="104"/>
      <c r="J18" s="104" t="s">
        <v>95</v>
      </c>
    </row>
    <row r="19" spans="1:10" ht="12" customHeight="1">
      <c r="A19" s="87" t="s">
        <v>110</v>
      </c>
      <c r="B19" s="25" t="s">
        <v>105</v>
      </c>
      <c r="C19" s="88">
        <v>19.1</v>
      </c>
      <c r="D19" s="89">
        <v>10</v>
      </c>
      <c r="E19" s="26">
        <v>2</v>
      </c>
      <c r="F19" s="104" t="s">
        <v>100</v>
      </c>
      <c r="G19" s="26">
        <f t="shared" si="0"/>
        <v>12.5</v>
      </c>
      <c r="H19" s="28">
        <f t="shared" si="1"/>
        <v>90</v>
      </c>
      <c r="I19" s="104"/>
      <c r="J19" s="104" t="s">
        <v>95</v>
      </c>
    </row>
    <row r="20" spans="1:10" ht="12" customHeight="1">
      <c r="A20" s="87" t="s">
        <v>111</v>
      </c>
      <c r="B20" s="25" t="s">
        <v>105</v>
      </c>
      <c r="C20" s="88">
        <v>18.6</v>
      </c>
      <c r="D20" s="89">
        <v>10</v>
      </c>
      <c r="E20" s="26">
        <v>2</v>
      </c>
      <c r="F20" s="104" t="s">
        <v>100</v>
      </c>
      <c r="G20" s="26">
        <f t="shared" si="0"/>
        <v>12.5</v>
      </c>
      <c r="H20" s="28">
        <f t="shared" si="1"/>
        <v>90</v>
      </c>
      <c r="I20" s="104"/>
      <c r="J20" s="104" t="s">
        <v>95</v>
      </c>
    </row>
    <row r="21" spans="1:10" ht="12" customHeight="1">
      <c r="A21" s="87" t="s">
        <v>112</v>
      </c>
      <c r="B21" s="25" t="s">
        <v>105</v>
      </c>
      <c r="C21" s="88">
        <v>7.7</v>
      </c>
      <c r="D21" s="26">
        <v>3</v>
      </c>
      <c r="E21" s="26">
        <v>3</v>
      </c>
      <c r="F21" s="104" t="s">
        <v>23</v>
      </c>
      <c r="G21" s="26">
        <v>25</v>
      </c>
      <c r="H21" s="28">
        <v>180</v>
      </c>
      <c r="I21" s="104"/>
      <c r="J21" s="105" t="s">
        <v>130</v>
      </c>
    </row>
    <row r="22" spans="1:10" ht="12" customHeight="1">
      <c r="A22" s="87" t="s">
        <v>98</v>
      </c>
      <c r="B22" s="25" t="s">
        <v>105</v>
      </c>
      <c r="C22" s="88">
        <v>7.6</v>
      </c>
      <c r="D22" s="26">
        <v>3</v>
      </c>
      <c r="E22" s="26">
        <v>3</v>
      </c>
      <c r="F22" s="104" t="s">
        <v>23</v>
      </c>
      <c r="G22" s="26">
        <v>25</v>
      </c>
      <c r="H22" s="28">
        <v>360</v>
      </c>
      <c r="I22" s="104"/>
      <c r="J22" s="105" t="s">
        <v>130</v>
      </c>
    </row>
    <row r="23" spans="1:10" ht="12" customHeight="1">
      <c r="A23" s="87" t="s">
        <v>113</v>
      </c>
      <c r="B23" s="25" t="s">
        <v>114</v>
      </c>
      <c r="C23" s="88">
        <v>26.9</v>
      </c>
      <c r="D23" s="26">
        <v>10</v>
      </c>
      <c r="E23" s="26">
        <v>3</v>
      </c>
      <c r="F23" s="104" t="s">
        <v>100</v>
      </c>
      <c r="G23" s="26">
        <f aca="true" t="shared" si="2" ref="G23:G29">IF(F23="IDAE",2,IF(F23="IDA 1",20,IF(F23="IDA 2",12.5,IF(F23="IDA 3",8,IF(F23="IDA 4",5)))))</f>
        <v>12.5</v>
      </c>
      <c r="H23" s="28">
        <f>G23*E23*3.6</f>
        <v>135</v>
      </c>
      <c r="I23" s="104"/>
      <c r="J23" s="104" t="s">
        <v>95</v>
      </c>
    </row>
    <row r="24" spans="1:10" ht="12" customHeight="1">
      <c r="A24" s="87" t="s">
        <v>115</v>
      </c>
      <c r="B24" s="25" t="s">
        <v>114</v>
      </c>
      <c r="C24" s="88">
        <v>26.5</v>
      </c>
      <c r="D24" s="26">
        <v>10</v>
      </c>
      <c r="E24" s="26">
        <v>3</v>
      </c>
      <c r="F24" s="104" t="s">
        <v>100</v>
      </c>
      <c r="G24" s="26">
        <f t="shared" si="2"/>
        <v>12.5</v>
      </c>
      <c r="H24" s="28">
        <f aca="true" t="shared" si="3" ref="H24:H29">G24*E24*3.6</f>
        <v>135</v>
      </c>
      <c r="I24" s="104"/>
      <c r="J24" s="104" t="s">
        <v>95</v>
      </c>
    </row>
    <row r="25" spans="1:10" ht="12" customHeight="1">
      <c r="A25" s="87" t="s">
        <v>116</v>
      </c>
      <c r="B25" s="25" t="s">
        <v>114</v>
      </c>
      <c r="C25" s="88">
        <v>30.75</v>
      </c>
      <c r="D25" s="26">
        <v>10</v>
      </c>
      <c r="E25" s="26">
        <v>3</v>
      </c>
      <c r="F25" s="104" t="s">
        <v>100</v>
      </c>
      <c r="G25" s="26">
        <f t="shared" si="2"/>
        <v>12.5</v>
      </c>
      <c r="H25" s="28">
        <f t="shared" si="3"/>
        <v>135</v>
      </c>
      <c r="I25" s="104"/>
      <c r="J25" s="104" t="s">
        <v>95</v>
      </c>
    </row>
    <row r="26" spans="1:10" ht="12" customHeight="1">
      <c r="A26" s="87" t="s">
        <v>117</v>
      </c>
      <c r="B26" s="25" t="s">
        <v>114</v>
      </c>
      <c r="C26" s="88">
        <v>29.1</v>
      </c>
      <c r="D26" s="26">
        <v>2</v>
      </c>
      <c r="E26" s="26">
        <v>15</v>
      </c>
      <c r="F26" s="104" t="s">
        <v>100</v>
      </c>
      <c r="G26" s="26">
        <f t="shared" si="2"/>
        <v>12.5</v>
      </c>
      <c r="H26" s="28">
        <f t="shared" si="3"/>
        <v>675</v>
      </c>
      <c r="I26" s="104"/>
      <c r="J26" s="104" t="s">
        <v>95</v>
      </c>
    </row>
    <row r="27" spans="1:10" ht="12" customHeight="1">
      <c r="A27" s="87" t="s">
        <v>118</v>
      </c>
      <c r="B27" s="25" t="s">
        <v>114</v>
      </c>
      <c r="C27" s="88">
        <v>29.55</v>
      </c>
      <c r="D27" s="26">
        <v>2</v>
      </c>
      <c r="E27" s="26">
        <v>15</v>
      </c>
      <c r="F27" s="104" t="s">
        <v>100</v>
      </c>
      <c r="G27" s="26">
        <f t="shared" si="2"/>
        <v>12.5</v>
      </c>
      <c r="H27" s="28">
        <f t="shared" si="3"/>
        <v>675</v>
      </c>
      <c r="I27" s="104"/>
      <c r="J27" s="104" t="s">
        <v>95</v>
      </c>
    </row>
    <row r="28" spans="1:10" ht="12" customHeight="1">
      <c r="A28" s="87" t="s">
        <v>119</v>
      </c>
      <c r="B28" s="25" t="s">
        <v>114</v>
      </c>
      <c r="C28" s="88">
        <v>13.5</v>
      </c>
      <c r="D28" s="26">
        <v>10</v>
      </c>
      <c r="E28" s="26">
        <v>2</v>
      </c>
      <c r="F28" s="104" t="s">
        <v>100</v>
      </c>
      <c r="G28" s="26">
        <f t="shared" si="2"/>
        <v>12.5</v>
      </c>
      <c r="H28" s="28">
        <f t="shared" si="3"/>
        <v>90</v>
      </c>
      <c r="I28" s="104"/>
      <c r="J28" s="104" t="s">
        <v>95</v>
      </c>
    </row>
    <row r="29" spans="1:10" ht="12" customHeight="1">
      <c r="A29" s="87" t="s">
        <v>120</v>
      </c>
      <c r="B29" s="25" t="s">
        <v>114</v>
      </c>
      <c r="C29" s="88">
        <v>32.55</v>
      </c>
      <c r="D29" s="26">
        <v>2</v>
      </c>
      <c r="E29" s="26">
        <v>16</v>
      </c>
      <c r="F29" s="104" t="s">
        <v>22</v>
      </c>
      <c r="G29" s="26">
        <f t="shared" si="2"/>
        <v>8</v>
      </c>
      <c r="H29" s="28">
        <f t="shared" si="3"/>
        <v>460.8</v>
      </c>
      <c r="I29" s="104"/>
      <c r="J29" s="104" t="s">
        <v>95</v>
      </c>
    </row>
    <row r="30" spans="1:10" ht="12" customHeight="1">
      <c r="A30" s="87" t="s">
        <v>112</v>
      </c>
      <c r="B30" s="25" t="s">
        <v>114</v>
      </c>
      <c r="C30" s="88">
        <v>6.9</v>
      </c>
      <c r="D30" s="26">
        <v>3</v>
      </c>
      <c r="E30" s="26">
        <v>2</v>
      </c>
      <c r="F30" s="104" t="s">
        <v>23</v>
      </c>
      <c r="G30" s="26">
        <v>25</v>
      </c>
      <c r="H30" s="28">
        <v>180</v>
      </c>
      <c r="I30" s="104"/>
      <c r="J30" s="105" t="s">
        <v>130</v>
      </c>
    </row>
    <row r="31" spans="1:10" ht="12" customHeight="1">
      <c r="A31" s="87" t="s">
        <v>121</v>
      </c>
      <c r="B31" s="25" t="s">
        <v>114</v>
      </c>
      <c r="C31" s="88">
        <v>6</v>
      </c>
      <c r="D31" s="26">
        <v>3</v>
      </c>
      <c r="E31" s="26">
        <v>2</v>
      </c>
      <c r="F31" s="104" t="s">
        <v>23</v>
      </c>
      <c r="G31" s="26">
        <v>25</v>
      </c>
      <c r="H31" s="28">
        <v>270</v>
      </c>
      <c r="I31" s="104"/>
      <c r="J31" s="105" t="s">
        <v>130</v>
      </c>
    </row>
    <row r="32" spans="1:10" ht="12" customHeight="1">
      <c r="A32" s="106" t="s">
        <v>122</v>
      </c>
      <c r="B32" s="107" t="s">
        <v>114</v>
      </c>
      <c r="C32" s="108">
        <v>11.5</v>
      </c>
      <c r="D32" s="109" t="s">
        <v>128</v>
      </c>
      <c r="E32" s="109" t="s">
        <v>128</v>
      </c>
      <c r="F32" s="110" t="s">
        <v>129</v>
      </c>
      <c r="G32" s="109">
        <v>2</v>
      </c>
      <c r="H32" s="111">
        <v>82.8</v>
      </c>
      <c r="I32" s="110"/>
      <c r="J32" s="112" t="s">
        <v>130</v>
      </c>
    </row>
    <row r="33" ht="9">
      <c r="J33" s="90"/>
    </row>
    <row r="34" spans="1:10" ht="9">
      <c r="A34" s="92" t="s">
        <v>24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1:10" ht="9">
      <c r="A35" s="92"/>
      <c r="B35" s="92"/>
      <c r="C35" s="92"/>
      <c r="D35" s="92"/>
      <c r="E35" s="92"/>
      <c r="F35" s="92"/>
      <c r="G35" s="92"/>
      <c r="H35" s="92"/>
      <c r="I35" s="92"/>
      <c r="J35" s="92"/>
    </row>
  </sheetData>
  <sheetProtection selectLockedCells="1" selectUnlockedCells="1"/>
  <mergeCells count="2">
    <mergeCell ref="A34:J34"/>
    <mergeCell ref="A35:J35"/>
  </mergeCells>
  <printOptions/>
  <pageMargins left="0.5597222222222222" right="0.3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57"/>
  <sheetViews>
    <sheetView zoomScale="160" zoomScaleNormal="160" workbookViewId="0" topLeftCell="A10">
      <selection activeCell="E32" sqref="E32"/>
    </sheetView>
  </sheetViews>
  <sheetFormatPr defaultColWidth="11.421875" defaultRowHeight="12.75"/>
  <cols>
    <col min="1" max="1" width="2.57421875" style="29" customWidth="1"/>
    <col min="2" max="2" width="2.421875" style="29" customWidth="1"/>
    <col min="3" max="3" width="5.421875" style="29" customWidth="1"/>
    <col min="4" max="4" width="5.8515625" style="29" customWidth="1"/>
    <col min="5" max="5" width="4.421875" style="29" customWidth="1"/>
    <col min="6" max="6" width="4.28125" style="29" customWidth="1"/>
    <col min="7" max="7" width="5.28125" style="29" customWidth="1"/>
    <col min="8" max="8" width="0" style="29" hidden="1" customWidth="1"/>
    <col min="9" max="9" width="5.28125" style="29" customWidth="1"/>
    <col min="10" max="12" width="0" style="29" hidden="1" customWidth="1"/>
    <col min="13" max="13" width="4.00390625" style="29" customWidth="1"/>
    <col min="14" max="14" width="4.8515625" style="29" customWidth="1"/>
    <col min="15" max="15" width="3.57421875" style="29" customWidth="1"/>
    <col min="16" max="16" width="0" style="29" hidden="1" customWidth="1"/>
    <col min="17" max="17" width="5.00390625" style="29" customWidth="1"/>
    <col min="18" max="18" width="5.8515625" style="30" customWidth="1"/>
    <col min="19" max="19" width="5.421875" style="29" customWidth="1"/>
    <col min="20" max="20" width="6.8515625" style="29" customWidth="1"/>
    <col min="21" max="21" width="5.8515625" style="29" customWidth="1"/>
    <col min="22" max="22" width="6.8515625" style="29" customWidth="1"/>
    <col min="23" max="23" width="0" style="29" hidden="1" customWidth="1"/>
    <col min="24" max="16384" width="11.421875" style="29" customWidth="1"/>
  </cols>
  <sheetData>
    <row r="2" spans="1:23" s="31" customFormat="1" ht="8.25">
      <c r="A2" s="84" t="s">
        <v>126</v>
      </c>
      <c r="B2" s="84"/>
      <c r="C2" s="84"/>
      <c r="D2" s="84"/>
      <c r="E2" s="84"/>
      <c r="F2" s="84"/>
      <c r="H2" s="32"/>
      <c r="I2" s="33"/>
      <c r="K2" s="32"/>
      <c r="L2" s="32"/>
      <c r="R2" s="34"/>
      <c r="W2" s="35"/>
    </row>
    <row r="3" spans="1:23" s="31" customFormat="1" ht="8.25">
      <c r="A3" s="36"/>
      <c r="B3" s="36"/>
      <c r="C3" s="36"/>
      <c r="D3" s="36"/>
      <c r="H3" s="32"/>
      <c r="I3" s="33"/>
      <c r="K3" s="32"/>
      <c r="L3" s="32"/>
      <c r="R3" s="37"/>
      <c r="W3" s="35"/>
    </row>
    <row r="4" spans="1:23" s="31" customFormat="1" ht="8.25">
      <c r="A4" s="36"/>
      <c r="B4" s="36"/>
      <c r="C4" s="36"/>
      <c r="D4" s="36"/>
      <c r="H4" s="32"/>
      <c r="I4" s="33"/>
      <c r="K4" s="32"/>
      <c r="L4" s="32"/>
      <c r="R4" s="37"/>
      <c r="W4" s="35"/>
    </row>
    <row r="5" spans="1:23" s="31" customFormat="1" ht="8.25">
      <c r="A5" s="31" t="s">
        <v>25</v>
      </c>
      <c r="E5" s="31" t="s">
        <v>125</v>
      </c>
      <c r="H5" s="32"/>
      <c r="I5" s="33"/>
      <c r="K5" s="32"/>
      <c r="L5" s="32"/>
      <c r="R5" s="37"/>
      <c r="W5" s="35"/>
    </row>
    <row r="6" spans="1:23" s="31" customFormat="1" ht="8.25">
      <c r="A6" s="31" t="s">
        <v>27</v>
      </c>
      <c r="E6" s="91">
        <v>4</v>
      </c>
      <c r="F6" s="31" t="s">
        <v>28</v>
      </c>
      <c r="H6" s="32"/>
      <c r="I6" s="33"/>
      <c r="K6" s="32"/>
      <c r="L6" s="32"/>
      <c r="R6" s="37"/>
      <c r="W6" s="35"/>
    </row>
    <row r="7" spans="1:23" s="31" customFormat="1" ht="8.25">
      <c r="A7" s="39"/>
      <c r="B7" s="39"/>
      <c r="C7" s="39"/>
      <c r="D7" s="39"/>
      <c r="E7" s="39"/>
      <c r="F7" s="39"/>
      <c r="G7" s="39"/>
      <c r="H7" s="40"/>
      <c r="I7" s="41"/>
      <c r="J7" s="39"/>
      <c r="K7" s="40"/>
      <c r="L7" s="40"/>
      <c r="M7" s="39"/>
      <c r="N7" s="39"/>
      <c r="O7" s="39"/>
      <c r="P7" s="39"/>
      <c r="Q7" s="39"/>
      <c r="R7" s="42"/>
      <c r="S7" s="39"/>
      <c r="T7" s="39"/>
      <c r="U7" s="39"/>
      <c r="V7" s="39"/>
      <c r="W7" s="43"/>
    </row>
    <row r="8" spans="1:23" s="31" customFormat="1" ht="8.25">
      <c r="A8" s="93" t="s">
        <v>29</v>
      </c>
      <c r="B8" s="93"/>
      <c r="C8" s="44" t="s">
        <v>30</v>
      </c>
      <c r="D8" s="44" t="s">
        <v>31</v>
      </c>
      <c r="E8" s="94" t="s">
        <v>32</v>
      </c>
      <c r="F8" s="94"/>
      <c r="G8" s="45" t="s">
        <v>33</v>
      </c>
      <c r="H8" s="46" t="s">
        <v>34</v>
      </c>
      <c r="I8" s="47" t="s">
        <v>35</v>
      </c>
      <c r="J8" s="44" t="s">
        <v>36</v>
      </c>
      <c r="K8" s="46" t="s">
        <v>37</v>
      </c>
      <c r="L8" s="46" t="s">
        <v>38</v>
      </c>
      <c r="M8" s="44" t="s">
        <v>39</v>
      </c>
      <c r="N8" s="44" t="s">
        <v>40</v>
      </c>
      <c r="O8" s="44" t="s">
        <v>40</v>
      </c>
      <c r="P8" s="44" t="s">
        <v>41</v>
      </c>
      <c r="Q8" s="44" t="s">
        <v>42</v>
      </c>
      <c r="R8" s="48" t="s">
        <v>43</v>
      </c>
      <c r="S8" s="44" t="s">
        <v>44</v>
      </c>
      <c r="T8" s="44" t="s">
        <v>45</v>
      </c>
      <c r="U8" s="44" t="s">
        <v>46</v>
      </c>
      <c r="V8" s="44" t="s">
        <v>47</v>
      </c>
      <c r="W8" s="49" t="s">
        <v>48</v>
      </c>
    </row>
    <row r="9" spans="1:23" s="31" customFormat="1" ht="8.25">
      <c r="A9" s="50" t="s">
        <v>49</v>
      </c>
      <c r="B9" s="50" t="s">
        <v>50</v>
      </c>
      <c r="C9" s="50" t="s">
        <v>51</v>
      </c>
      <c r="D9" s="50" t="s">
        <v>52</v>
      </c>
      <c r="E9" s="51" t="s">
        <v>53</v>
      </c>
      <c r="F9" s="51" t="s">
        <v>54</v>
      </c>
      <c r="G9" s="52" t="s">
        <v>55</v>
      </c>
      <c r="H9" s="53" t="s">
        <v>56</v>
      </c>
      <c r="I9" s="54" t="s">
        <v>28</v>
      </c>
      <c r="J9" s="50"/>
      <c r="K9" s="53"/>
      <c r="L9" s="53"/>
      <c r="M9" s="50" t="s">
        <v>56</v>
      </c>
      <c r="N9" s="50" t="s">
        <v>57</v>
      </c>
      <c r="O9" s="50" t="s">
        <v>58</v>
      </c>
      <c r="P9" s="50" t="s">
        <v>59</v>
      </c>
      <c r="Q9" s="50" t="s">
        <v>60</v>
      </c>
      <c r="R9" s="55" t="s">
        <v>61</v>
      </c>
      <c r="S9" s="50" t="s">
        <v>60</v>
      </c>
      <c r="T9" s="50" t="s">
        <v>62</v>
      </c>
      <c r="U9" s="50" t="s">
        <v>62</v>
      </c>
      <c r="V9" s="50" t="s">
        <v>62</v>
      </c>
      <c r="W9" s="56" t="s">
        <v>63</v>
      </c>
    </row>
    <row r="10" spans="1:23" s="31" customFormat="1" ht="8.25">
      <c r="A10" s="57"/>
      <c r="B10" s="57"/>
      <c r="C10" s="57"/>
      <c r="D10" s="57"/>
      <c r="E10" s="58"/>
      <c r="F10" s="58"/>
      <c r="G10" s="59"/>
      <c r="H10" s="60"/>
      <c r="I10" s="61"/>
      <c r="J10" s="57"/>
      <c r="K10" s="60"/>
      <c r="L10" s="60"/>
      <c r="M10" s="57"/>
      <c r="N10" s="57"/>
      <c r="O10" s="57"/>
      <c r="P10" s="57"/>
      <c r="Q10" s="57"/>
      <c r="R10" s="62"/>
      <c r="S10" s="57"/>
      <c r="T10" s="57"/>
      <c r="U10" s="57"/>
      <c r="V10" s="57"/>
      <c r="W10" s="63"/>
    </row>
    <row r="11" spans="1:23" s="31" customFormat="1" ht="8.25">
      <c r="A11" s="44">
        <v>1</v>
      </c>
      <c r="B11" s="44">
        <v>2</v>
      </c>
      <c r="C11" s="64">
        <f>((675+675)+(90*5)+(180+90+90))+((461+135+135+135)+(90+90)+(90+90))</f>
        <v>3386</v>
      </c>
      <c r="D11" s="64">
        <f>C11/E6/0.0036</f>
        <v>235138.8888888889</v>
      </c>
      <c r="E11" s="65">
        <v>600</v>
      </c>
      <c r="F11" s="65">
        <v>400</v>
      </c>
      <c r="G11" s="66">
        <f aca="true" t="shared" si="0" ref="G11:G18">1.3*((E11*F11)^0.625)/(E11+F11)^0.25</f>
        <v>532.8136941740679</v>
      </c>
      <c r="H11" s="46">
        <f aca="true" t="shared" si="1" ref="H11:H18">2*(E11/1000)*(F11/1000)/(E11/1000+F11/1000)</f>
        <v>0.48</v>
      </c>
      <c r="I11" s="67">
        <f aca="true" t="shared" si="2" ref="I11:I18">C11/E11/F11/0.0036</f>
        <v>3.918981481481482</v>
      </c>
      <c r="J11" s="68">
        <f aca="true" t="shared" si="3" ref="J11:J18">H11*1.22*I11/(18.189*0.000001)</f>
        <v>126172.71733220934</v>
      </c>
      <c r="K11" s="46">
        <f aca="true" t="shared" si="4" ref="K11:K18">0.11*(0.00009/H11+68/J11)^0.25</f>
        <v>0.018058978714760015</v>
      </c>
      <c r="L11" s="46">
        <f aca="true" t="shared" si="5" ref="L11:L25">IF(K11&gt;0.018,K11,IF(K11&lt;0.018,0.85*K11+0.0028))</f>
        <v>0.018058978714760015</v>
      </c>
      <c r="M11" s="44">
        <v>49</v>
      </c>
      <c r="N11" s="44">
        <v>5</v>
      </c>
      <c r="O11" s="44">
        <v>0</v>
      </c>
      <c r="P11" s="44">
        <f aca="true" t="shared" si="6" ref="P11:P18">IF(F11/E11&lt;0.25,0.4,IF(AND(F11/E11&gt;0.25,F11/E11&lt;0.5),0.3,IF(AND(F11/E11&gt;0.55,F11/E11&lt;1),0.25,IF(AND(F11/E11&gt;0.99,F11/E11&lt;4),0.2))))</f>
        <v>0.25</v>
      </c>
      <c r="Q11" s="44">
        <v>0</v>
      </c>
      <c r="R11" s="69">
        <f aca="true" t="shared" si="7" ref="R11:R18">0.61*L11*I11^2/H11*0.102</f>
        <v>0.0359524406563757</v>
      </c>
      <c r="S11" s="49">
        <f aca="true" t="shared" si="8" ref="S11:S18">0.61*L11*M11*I11^2/H11*0.102</f>
        <v>1.7616695921624093</v>
      </c>
      <c r="T11" s="49">
        <f aca="true" t="shared" si="9" ref="T11:T18">N11*P11*(I11/4.04)^2</f>
        <v>1.176233936332436</v>
      </c>
      <c r="U11" s="49">
        <f aca="true" t="shared" si="10" ref="U11:U18">O11*Q11</f>
        <v>0</v>
      </c>
      <c r="V11" s="49">
        <f aca="true" t="shared" si="11" ref="V11:V18">S11+T11+U11</f>
        <v>2.937903528494845</v>
      </c>
      <c r="W11" s="49">
        <f>M11*(2*E11+2*F11)*1.1/1000</f>
        <v>107.80000000000001</v>
      </c>
    </row>
    <row r="12" spans="1:23" s="31" customFormat="1" ht="8.25">
      <c r="A12" s="44">
        <v>2</v>
      </c>
      <c r="B12" s="44">
        <v>3</v>
      </c>
      <c r="C12" s="64">
        <f>((675+675)+(90*5)+(180+90+90))</f>
        <v>2160</v>
      </c>
      <c r="D12" s="64">
        <f>C12/I11/0.0036</f>
        <v>153101.00413467217</v>
      </c>
      <c r="E12" s="65">
        <v>400</v>
      </c>
      <c r="F12" s="65">
        <v>400</v>
      </c>
      <c r="G12" s="66">
        <f t="shared" si="0"/>
        <v>437.2661359319314</v>
      </c>
      <c r="H12" s="46">
        <f t="shared" si="1"/>
        <v>0.4000000000000001</v>
      </c>
      <c r="I12" s="67">
        <f t="shared" si="2"/>
        <v>3.7500000000000004</v>
      </c>
      <c r="J12" s="68">
        <f t="shared" si="3"/>
        <v>100610.25894771569</v>
      </c>
      <c r="K12" s="46">
        <f t="shared" si="4"/>
        <v>0.019057190193601657</v>
      </c>
      <c r="L12" s="46">
        <f t="shared" si="5"/>
        <v>0.019057190193601657</v>
      </c>
      <c r="M12" s="44">
        <v>10</v>
      </c>
      <c r="N12" s="44">
        <v>1</v>
      </c>
      <c r="O12" s="44">
        <v>0</v>
      </c>
      <c r="P12" s="44">
        <f t="shared" si="6"/>
        <v>0.2</v>
      </c>
      <c r="Q12" s="44">
        <v>0</v>
      </c>
      <c r="R12" s="69">
        <f t="shared" si="7"/>
        <v>0.04168611470551975</v>
      </c>
      <c r="S12" s="49">
        <f t="shared" si="8"/>
        <v>0.4168611470551975</v>
      </c>
      <c r="T12" s="49">
        <f t="shared" si="9"/>
        <v>0.17231766493481035</v>
      </c>
      <c r="U12" s="49">
        <f t="shared" si="10"/>
        <v>0</v>
      </c>
      <c r="V12" s="49">
        <f t="shared" si="11"/>
        <v>0.5891788119900079</v>
      </c>
      <c r="W12" s="49"/>
    </row>
    <row r="13" spans="1:23" s="31" customFormat="1" ht="8.25">
      <c r="A13" s="44">
        <v>3</v>
      </c>
      <c r="B13" s="44">
        <v>4</v>
      </c>
      <c r="C13" s="64">
        <f>((90*5)+(180+90+90))</f>
        <v>810</v>
      </c>
      <c r="D13" s="64">
        <f>C13/I12/0.0036</f>
        <v>59999.99999999999</v>
      </c>
      <c r="E13" s="65">
        <v>400</v>
      </c>
      <c r="F13" s="65">
        <v>200</v>
      </c>
      <c r="G13" s="66">
        <f t="shared" si="0"/>
        <v>304.67497318521913</v>
      </c>
      <c r="H13" s="46">
        <f t="shared" si="1"/>
        <v>0.26666666666666666</v>
      </c>
      <c r="I13" s="67">
        <f t="shared" si="2"/>
        <v>2.8125</v>
      </c>
      <c r="J13" s="68">
        <f t="shared" si="3"/>
        <v>50305.12947385783</v>
      </c>
      <c r="K13" s="46">
        <f t="shared" si="4"/>
        <v>0.02230058314705901</v>
      </c>
      <c r="L13" s="46">
        <f t="shared" si="5"/>
        <v>0.02230058314705901</v>
      </c>
      <c r="M13" s="44">
        <v>8</v>
      </c>
      <c r="N13" s="44">
        <v>0</v>
      </c>
      <c r="O13" s="44">
        <v>0</v>
      </c>
      <c r="P13" s="44" t="b">
        <f t="shared" si="6"/>
        <v>0</v>
      </c>
      <c r="Q13" s="44">
        <v>0</v>
      </c>
      <c r="R13" s="69">
        <f t="shared" si="7"/>
        <v>0.04115878599470615</v>
      </c>
      <c r="S13" s="49">
        <f t="shared" si="8"/>
        <v>0.3292702879576492</v>
      </c>
      <c r="T13" s="49">
        <f t="shared" si="9"/>
        <v>0</v>
      </c>
      <c r="U13" s="49">
        <f t="shared" si="10"/>
        <v>0</v>
      </c>
      <c r="V13" s="49">
        <f t="shared" si="11"/>
        <v>0.3292702879576492</v>
      </c>
      <c r="W13" s="49"/>
    </row>
    <row r="14" spans="1:23" s="31" customFormat="1" ht="8.25">
      <c r="A14" s="44">
        <v>4</v>
      </c>
      <c r="B14" s="44">
        <v>5</v>
      </c>
      <c r="C14" s="64">
        <f>(180+90+90)</f>
        <v>360</v>
      </c>
      <c r="D14" s="64">
        <f>C14/I13/0.0036</f>
        <v>35555.555555555555</v>
      </c>
      <c r="E14" s="65">
        <v>300</v>
      </c>
      <c r="F14" s="65">
        <v>150</v>
      </c>
      <c r="G14" s="66">
        <f t="shared" si="0"/>
        <v>228.50622988891436</v>
      </c>
      <c r="H14" s="46">
        <f t="shared" si="1"/>
        <v>0.2</v>
      </c>
      <c r="I14" s="67">
        <f t="shared" si="2"/>
        <v>2.2222222222222223</v>
      </c>
      <c r="J14" s="68">
        <f t="shared" si="3"/>
        <v>29810.44709561946</v>
      </c>
      <c r="K14" s="46">
        <f t="shared" si="4"/>
        <v>0.02514642614525839</v>
      </c>
      <c r="L14" s="46">
        <f t="shared" si="5"/>
        <v>0.02514642614525839</v>
      </c>
      <c r="M14" s="44">
        <v>8</v>
      </c>
      <c r="N14" s="44">
        <v>0</v>
      </c>
      <c r="O14" s="44">
        <v>0</v>
      </c>
      <c r="P14" s="44" t="b">
        <f t="shared" si="6"/>
        <v>0</v>
      </c>
      <c r="Q14" s="44">
        <v>0</v>
      </c>
      <c r="R14" s="69">
        <f t="shared" si="7"/>
        <v>0.03863236135204882</v>
      </c>
      <c r="S14" s="49">
        <f t="shared" si="8"/>
        <v>0.30905889081639054</v>
      </c>
      <c r="T14" s="49">
        <f t="shared" si="9"/>
        <v>0</v>
      </c>
      <c r="U14" s="49">
        <f t="shared" si="10"/>
        <v>0</v>
      </c>
      <c r="V14" s="49">
        <f t="shared" si="11"/>
        <v>0.30905889081639054</v>
      </c>
      <c r="W14" s="49"/>
    </row>
    <row r="15" spans="1:23" s="31" customFormat="1" ht="8.25">
      <c r="A15" s="44">
        <v>5</v>
      </c>
      <c r="B15" s="44">
        <v>6</v>
      </c>
      <c r="C15" s="64">
        <f>(90+90)</f>
        <v>180</v>
      </c>
      <c r="D15" s="64">
        <f>C15/I14/0.0036</f>
        <v>22500</v>
      </c>
      <c r="E15" s="65">
        <v>200</v>
      </c>
      <c r="F15" s="65">
        <v>150</v>
      </c>
      <c r="G15" s="66">
        <f t="shared" si="0"/>
        <v>188.85440773316796</v>
      </c>
      <c r="H15" s="46">
        <f t="shared" si="1"/>
        <v>0.17142857142857143</v>
      </c>
      <c r="I15" s="67">
        <f t="shared" si="2"/>
        <v>1.6666666666666667</v>
      </c>
      <c r="J15" s="68">
        <f t="shared" si="3"/>
        <v>19163.858847183936</v>
      </c>
      <c r="K15" s="46">
        <f t="shared" si="4"/>
        <v>0.027789485610118958</v>
      </c>
      <c r="L15" s="46">
        <f t="shared" si="5"/>
        <v>0.027789485610118958</v>
      </c>
      <c r="M15" s="44">
        <v>8</v>
      </c>
      <c r="N15" s="44">
        <v>0</v>
      </c>
      <c r="O15" s="44">
        <v>0</v>
      </c>
      <c r="P15" s="44">
        <f t="shared" si="6"/>
        <v>0.25</v>
      </c>
      <c r="Q15" s="44">
        <v>0</v>
      </c>
      <c r="R15" s="69">
        <f t="shared" si="7"/>
        <v>0.028017205006090767</v>
      </c>
      <c r="S15" s="49">
        <f t="shared" si="8"/>
        <v>0.22413764004872613</v>
      </c>
      <c r="T15" s="49">
        <f t="shared" si="9"/>
        <v>0</v>
      </c>
      <c r="U15" s="49">
        <f t="shared" si="10"/>
        <v>0</v>
      </c>
      <c r="V15" s="49">
        <f t="shared" si="11"/>
        <v>0.22413764004872613</v>
      </c>
      <c r="W15" s="49"/>
    </row>
    <row r="16" spans="1:23" s="31" customFormat="1" ht="8.25">
      <c r="A16" s="44">
        <v>6</v>
      </c>
      <c r="B16" s="44">
        <v>7</v>
      </c>
      <c r="C16" s="64">
        <f>90</f>
        <v>90</v>
      </c>
      <c r="D16" s="64">
        <f>C16/I15/0.0036</f>
        <v>15000</v>
      </c>
      <c r="E16" s="65">
        <v>150</v>
      </c>
      <c r="F16" s="65">
        <v>150</v>
      </c>
      <c r="G16" s="66">
        <f t="shared" si="0"/>
        <v>163.97480097447428</v>
      </c>
      <c r="H16" s="46">
        <f t="shared" si="1"/>
        <v>0.15</v>
      </c>
      <c r="I16" s="67">
        <f t="shared" si="2"/>
        <v>1.1111111111111112</v>
      </c>
      <c r="J16" s="68">
        <f t="shared" si="3"/>
        <v>11178.917660857296</v>
      </c>
      <c r="K16" s="46">
        <f t="shared" si="4"/>
        <v>0.031450936341117945</v>
      </c>
      <c r="L16" s="46">
        <f t="shared" si="5"/>
        <v>0.031450936341117945</v>
      </c>
      <c r="M16" s="44">
        <v>8</v>
      </c>
      <c r="N16" s="44">
        <v>0</v>
      </c>
      <c r="O16" s="44">
        <v>0</v>
      </c>
      <c r="P16" s="44">
        <f t="shared" si="6"/>
        <v>0.2</v>
      </c>
      <c r="Q16" s="44">
        <v>0</v>
      </c>
      <c r="R16" s="69">
        <f t="shared" si="7"/>
        <v>0.016105985671970028</v>
      </c>
      <c r="S16" s="49">
        <f t="shared" si="8"/>
        <v>0.12884788537576022</v>
      </c>
      <c r="T16" s="49">
        <f t="shared" si="9"/>
        <v>0</v>
      </c>
      <c r="U16" s="49">
        <f t="shared" si="10"/>
        <v>0</v>
      </c>
      <c r="V16" s="49">
        <f t="shared" si="11"/>
        <v>0.12884788537576022</v>
      </c>
      <c r="W16" s="49"/>
    </row>
    <row r="17" spans="1:23" s="31" customFormat="1" ht="8.25">
      <c r="A17" s="44"/>
      <c r="B17" s="44"/>
      <c r="C17" s="64"/>
      <c r="D17" s="64"/>
      <c r="E17" s="65"/>
      <c r="F17" s="65"/>
      <c r="G17" s="66"/>
      <c r="H17" s="46"/>
      <c r="I17" s="67"/>
      <c r="J17" s="68"/>
      <c r="K17" s="46"/>
      <c r="L17" s="46"/>
      <c r="M17" s="44"/>
      <c r="N17" s="44"/>
      <c r="O17" s="44"/>
      <c r="P17" s="44"/>
      <c r="Q17" s="44"/>
      <c r="R17" s="69"/>
      <c r="S17" s="49"/>
      <c r="T17" s="49"/>
      <c r="U17" s="49"/>
      <c r="V17" s="49"/>
      <c r="W17" s="49"/>
    </row>
    <row r="18" spans="1:23" s="31" customFormat="1" ht="8.25">
      <c r="A18" s="44">
        <v>3</v>
      </c>
      <c r="B18" s="44">
        <v>9</v>
      </c>
      <c r="C18" s="64">
        <f>90*5</f>
        <v>450</v>
      </c>
      <c r="D18" s="64">
        <f>C18/I13/0.0036</f>
        <v>44444.444444444445</v>
      </c>
      <c r="E18" s="65">
        <v>250</v>
      </c>
      <c r="F18" s="65">
        <v>200</v>
      </c>
      <c r="G18" s="66">
        <f t="shared" si="0"/>
        <v>244.05992674030927</v>
      </c>
      <c r="H18" s="46">
        <f t="shared" si="1"/>
        <v>0.22222222222222224</v>
      </c>
      <c r="I18" s="67">
        <f t="shared" si="2"/>
        <v>2.5000000000000004</v>
      </c>
      <c r="J18" s="68">
        <f t="shared" si="3"/>
        <v>37263.05886952433</v>
      </c>
      <c r="K18" s="46">
        <f t="shared" si="4"/>
        <v>0.023903542057582234</v>
      </c>
      <c r="L18" s="46">
        <f t="shared" si="5"/>
        <v>0.023903542057582234</v>
      </c>
      <c r="M18" s="44">
        <v>8</v>
      </c>
      <c r="N18" s="44">
        <v>0</v>
      </c>
      <c r="O18" s="44">
        <v>0</v>
      </c>
      <c r="P18" s="44">
        <f t="shared" si="6"/>
        <v>0.25</v>
      </c>
      <c r="Q18" s="44">
        <v>0</v>
      </c>
      <c r="R18" s="69">
        <f t="shared" si="7"/>
        <v>0.041829704629390306</v>
      </c>
      <c r="S18" s="49">
        <f t="shared" si="8"/>
        <v>0.33463763703512245</v>
      </c>
      <c r="T18" s="49">
        <f t="shared" si="9"/>
        <v>0</v>
      </c>
      <c r="U18" s="49">
        <f t="shared" si="10"/>
        <v>0</v>
      </c>
      <c r="V18" s="49">
        <f t="shared" si="11"/>
        <v>0.33463763703512245</v>
      </c>
      <c r="W18" s="49"/>
    </row>
    <row r="19" spans="1:23" s="31" customFormat="1" ht="8.25">
      <c r="A19" s="44">
        <v>9</v>
      </c>
      <c r="B19" s="44">
        <v>10</v>
      </c>
      <c r="C19" s="64">
        <f>90*4</f>
        <v>360</v>
      </c>
      <c r="D19" s="64">
        <f>C19/I18/0.0036</f>
        <v>39999.99999999999</v>
      </c>
      <c r="E19" s="65">
        <v>200</v>
      </c>
      <c r="F19" s="65">
        <v>200</v>
      </c>
      <c r="G19" s="66">
        <f>1.3*((E19*F19)^0.625)/(E19+F19)^0.25</f>
        <v>218.63306796596578</v>
      </c>
      <c r="H19" s="46">
        <f>2*(E19/1000)*(F19/1000)/(E19/1000+F19/1000)</f>
        <v>0.20000000000000004</v>
      </c>
      <c r="I19" s="67">
        <f>C19/E19/F19/0.0036</f>
        <v>2.5000000000000004</v>
      </c>
      <c r="J19" s="68">
        <f>H19*1.22*I19/(18.189*0.000001)</f>
        <v>33536.752982571896</v>
      </c>
      <c r="K19" s="46">
        <f>0.11*(0.00009/H19+68/J19)^0.25</f>
        <v>0.024541529891759572</v>
      </c>
      <c r="L19" s="46">
        <f t="shared" si="5"/>
        <v>0.024541529891759572</v>
      </c>
      <c r="M19" s="44">
        <v>8</v>
      </c>
      <c r="N19" s="44">
        <v>0</v>
      </c>
      <c r="O19" s="44">
        <v>0</v>
      </c>
      <c r="P19" s="44">
        <f>IF(F19/E19&lt;0.25,0.4,IF(AND(F19/E19&gt;0.25,F19/E19&lt;0.5),0.3,IF(AND(F19/E19&gt;0.55,F19/E19&lt;1),0.25,IF(AND(F19/E19&gt;0.99,F19/E19&lt;4),0.2))))</f>
        <v>0.2</v>
      </c>
      <c r="Q19" s="44">
        <v>1</v>
      </c>
      <c r="R19" s="69">
        <f>0.61*L19*I19^2/H19*0.102</f>
        <v>0.04771793718329002</v>
      </c>
      <c r="S19" s="49">
        <f>0.61*L19*M19*I19^2/H19*0.102</f>
        <v>0.38174349746632014</v>
      </c>
      <c r="T19" s="49">
        <f>N19*P19*(I19/4.04)^2</f>
        <v>0</v>
      </c>
      <c r="U19" s="49">
        <f>O19*Q19</f>
        <v>0</v>
      </c>
      <c r="V19" s="49">
        <f>S19+T19+U19</f>
        <v>0.38174349746632014</v>
      </c>
      <c r="W19" s="49"/>
    </row>
    <row r="20" spans="1:23" s="31" customFormat="1" ht="8.25">
      <c r="A20" s="44">
        <v>10</v>
      </c>
      <c r="B20" s="44">
        <v>11</v>
      </c>
      <c r="C20" s="64">
        <f>90*3</f>
        <v>270</v>
      </c>
      <c r="D20" s="64">
        <f>C20/I19/0.0036</f>
        <v>29999.999999999996</v>
      </c>
      <c r="E20" s="65">
        <v>200</v>
      </c>
      <c r="F20" s="65">
        <v>200</v>
      </c>
      <c r="G20" s="66">
        <f>1.3*((E20*F20)^0.625)/(E20+F20)^0.25</f>
        <v>218.63306796596578</v>
      </c>
      <c r="H20" s="46">
        <f>2*(E20/1000)*(F20/1000)/(E20/1000+F20/1000)</f>
        <v>0.20000000000000004</v>
      </c>
      <c r="I20" s="67">
        <f>C20/E20/F20/0.0036</f>
        <v>1.8750000000000002</v>
      </c>
      <c r="J20" s="68">
        <f>H20*1.22*I20/(18.189*0.000001)</f>
        <v>25152.56473692892</v>
      </c>
      <c r="K20" s="46">
        <f>0.11*(0.00009/H20+68/J20)^0.25</f>
        <v>0.026066993907213436</v>
      </c>
      <c r="L20" s="46">
        <f t="shared" si="5"/>
        <v>0.026066993907213436</v>
      </c>
      <c r="M20" s="44">
        <v>8</v>
      </c>
      <c r="N20" s="44">
        <v>0</v>
      </c>
      <c r="O20" s="44">
        <v>0</v>
      </c>
      <c r="P20" s="44">
        <f>IF(F20/E20&lt;0.25,0.4,IF(AND(F20/E20&gt;0.25,F20/E20&lt;0.5),0.3,IF(AND(F20/E20&gt;0.55,F20/E20&lt;1),0.25,IF(AND(F20/E20&gt;0.99,F20/E20&lt;4),0.2))))</f>
        <v>0.2</v>
      </c>
      <c r="Q20" s="44">
        <v>2</v>
      </c>
      <c r="R20" s="69">
        <f>0.61*L20*I20^2/H20*0.102</f>
        <v>0.028509756344065194</v>
      </c>
      <c r="S20" s="49">
        <f>0.61*L20*M20*I20^2/H20*0.102</f>
        <v>0.22807805075252155</v>
      </c>
      <c r="T20" s="49">
        <f>N20*P20*(I20/4.04)^2</f>
        <v>0</v>
      </c>
      <c r="U20" s="49">
        <f>O20*Q20</f>
        <v>0</v>
      </c>
      <c r="V20" s="49">
        <f>S20+T20+U20</f>
        <v>0.22807805075252155</v>
      </c>
      <c r="W20" s="49"/>
    </row>
    <row r="21" spans="1:23" s="31" customFormat="1" ht="8.25">
      <c r="A21" s="44">
        <v>11</v>
      </c>
      <c r="B21" s="44">
        <v>12</v>
      </c>
      <c r="C21" s="64">
        <f>90*2</f>
        <v>180</v>
      </c>
      <c r="D21" s="64">
        <f>C21/I20/0.0036</f>
        <v>26666.666666666664</v>
      </c>
      <c r="E21" s="65">
        <v>200</v>
      </c>
      <c r="F21" s="65">
        <v>150</v>
      </c>
      <c r="G21" s="66">
        <f>1.3*((E21*F21)^0.625)/(E21+F21)^0.25</f>
        <v>188.85440773316796</v>
      </c>
      <c r="H21" s="46">
        <f>2*(E21/1000)*(F21/1000)/(E21/1000+F21/1000)</f>
        <v>0.17142857142857143</v>
      </c>
      <c r="I21" s="67">
        <f>C21/E21/F21/0.0036</f>
        <v>1.6666666666666667</v>
      </c>
      <c r="J21" s="68">
        <f>H21*1.22*I21/(18.189*0.000001)</f>
        <v>19163.858847183936</v>
      </c>
      <c r="K21" s="46">
        <f>0.11*(0.00009/H21+68/J21)^0.25</f>
        <v>0.027789485610118958</v>
      </c>
      <c r="L21" s="46">
        <f t="shared" si="5"/>
        <v>0.027789485610118958</v>
      </c>
      <c r="M21" s="44">
        <v>8</v>
      </c>
      <c r="N21" s="44">
        <v>0</v>
      </c>
      <c r="O21" s="44">
        <v>0</v>
      </c>
      <c r="P21" s="44">
        <f>IF(F21/E21&lt;0.25,0.4,IF(AND(F21/E21&gt;0.25,F21/E21&lt;0.5),0.3,IF(AND(F21/E21&gt;0.55,F21/E21&lt;1),0.25,IF(AND(F21/E21&gt;0.99,F21/E21&lt;4),0.2))))</f>
        <v>0.25</v>
      </c>
      <c r="Q21" s="44">
        <v>3</v>
      </c>
      <c r="R21" s="69">
        <f>0.61*L21*I21^2/H21*0.102</f>
        <v>0.028017205006090767</v>
      </c>
      <c r="S21" s="49">
        <f>0.61*L21*M21*I21^2/H21*0.102</f>
        <v>0.22413764004872613</v>
      </c>
      <c r="T21" s="49">
        <f>N21*P21*(I21/4.04)^2</f>
        <v>0</v>
      </c>
      <c r="U21" s="49">
        <f>O21*Q21</f>
        <v>0</v>
      </c>
      <c r="V21" s="49">
        <f>S21+T21+U21</f>
        <v>0.22413764004872613</v>
      </c>
      <c r="W21" s="49"/>
    </row>
    <row r="22" spans="1:23" s="31" customFormat="1" ht="8.25">
      <c r="A22" s="44">
        <v>12</v>
      </c>
      <c r="B22" s="44">
        <v>13</v>
      </c>
      <c r="C22" s="64">
        <f>90*1</f>
        <v>90</v>
      </c>
      <c r="D22" s="64">
        <f>C22/I21/0.0036</f>
        <v>15000</v>
      </c>
      <c r="E22" s="65">
        <v>150</v>
      </c>
      <c r="F22" s="65">
        <v>150</v>
      </c>
      <c r="G22" s="66">
        <f>1.3*((E22*F22)^0.625)/(E22+F22)^0.25</f>
        <v>163.97480097447428</v>
      </c>
      <c r="H22" s="46">
        <f>2*(E22/1000)*(F22/1000)/(E22/1000+F22/1000)</f>
        <v>0.15</v>
      </c>
      <c r="I22" s="67">
        <f>C22/E22/F22/0.0036</f>
        <v>1.1111111111111112</v>
      </c>
      <c r="J22" s="68">
        <f>H22*1.22*I22/(18.189*0.000001)</f>
        <v>11178.917660857296</v>
      </c>
      <c r="K22" s="46">
        <f>0.11*(0.00009/H22+68/J22)^0.25</f>
        <v>0.031450936341117945</v>
      </c>
      <c r="L22" s="46">
        <f t="shared" si="5"/>
        <v>0.031450936341117945</v>
      </c>
      <c r="M22" s="44">
        <v>8</v>
      </c>
      <c r="N22" s="44">
        <v>0</v>
      </c>
      <c r="O22" s="44">
        <v>0</v>
      </c>
      <c r="P22" s="44">
        <f>IF(F22/E22&lt;0.25,0.4,IF(AND(F22/E22&gt;0.25,F22/E22&lt;0.5),0.3,IF(AND(F22/E22&gt;0.55,F22/E22&lt;1),0.25,IF(AND(F22/E22&gt;0.99,F22/E22&lt;4),0.2))))</f>
        <v>0.2</v>
      </c>
      <c r="Q22" s="44">
        <v>4</v>
      </c>
      <c r="R22" s="69">
        <f>0.61*L22*I22^2/H22*0.102</f>
        <v>0.016105985671970028</v>
      </c>
      <c r="S22" s="49">
        <f>0.61*L22*M22*I22^2/H22*0.102</f>
        <v>0.12884788537576022</v>
      </c>
      <c r="T22" s="49">
        <f>N22*P22*(I22/4.04)^2</f>
        <v>0</v>
      </c>
      <c r="U22" s="49">
        <f>O22*Q22</f>
        <v>0</v>
      </c>
      <c r="V22" s="49">
        <f>S22+T22+U22</f>
        <v>0.12884788537576022</v>
      </c>
      <c r="W22" s="49"/>
    </row>
    <row r="23" spans="1:23" s="31" customFormat="1" ht="8.25">
      <c r="A23" s="44"/>
      <c r="B23" s="44"/>
      <c r="C23" s="64"/>
      <c r="D23" s="64"/>
      <c r="E23" s="65"/>
      <c r="F23" s="65"/>
      <c r="G23" s="66"/>
      <c r="H23" s="46"/>
      <c r="I23" s="67"/>
      <c r="J23" s="68"/>
      <c r="K23" s="46"/>
      <c r="L23" s="46"/>
      <c r="M23" s="44"/>
      <c r="N23" s="44"/>
      <c r="O23" s="44"/>
      <c r="P23" s="44"/>
      <c r="Q23" s="44"/>
      <c r="R23" s="69"/>
      <c r="S23" s="49"/>
      <c r="T23" s="49"/>
      <c r="U23" s="49"/>
      <c r="V23" s="49"/>
      <c r="W23" s="49"/>
    </row>
    <row r="24" spans="1:23" s="31" customFormat="1" ht="8.25">
      <c r="A24" s="44">
        <v>2</v>
      </c>
      <c r="B24" s="44">
        <v>14</v>
      </c>
      <c r="C24" s="64">
        <f>675+675</f>
        <v>1350</v>
      </c>
      <c r="D24" s="64">
        <f>C24/I12/0.0036</f>
        <v>99999.99999999999</v>
      </c>
      <c r="E24" s="65">
        <v>320</v>
      </c>
      <c r="F24" s="65">
        <v>320</v>
      </c>
      <c r="G24" s="66">
        <f>1.3*((E24*F24)^0.625)/(E24+F24)^0.25</f>
        <v>349.8129087455452</v>
      </c>
      <c r="H24" s="46">
        <f>2*(E24/1000)*(F24/1000)/(E24/1000+F24/1000)</f>
        <v>0.32</v>
      </c>
      <c r="I24" s="67">
        <f>C24/E24/F24/0.0036</f>
        <v>3.662109375</v>
      </c>
      <c r="J24" s="68">
        <f>H24*1.22*I24/(18.189*0.000001)</f>
        <v>78601.76480290286</v>
      </c>
      <c r="K24" s="46">
        <f>0.11*(0.00009/H24+68/J24)^0.25</f>
        <v>0.020240625893388774</v>
      </c>
      <c r="L24" s="46">
        <f t="shared" si="5"/>
        <v>0.020240625893388774</v>
      </c>
      <c r="M24" s="44">
        <v>8</v>
      </c>
      <c r="N24" s="44">
        <v>0</v>
      </c>
      <c r="O24" s="44">
        <v>0</v>
      </c>
      <c r="P24" s="44">
        <f>IF(F24/E24&lt;0.25,0.4,IF(AND(F24/E24&gt;0.25,F24/E24&lt;0.5),0.3,IF(AND(F24/E24&gt;0.55,F24/E24&lt;1),0.25,IF(AND(F24/E24&gt;0.99,F24/E24&lt;4),0.2))))</f>
        <v>0.2</v>
      </c>
      <c r="Q24" s="44">
        <v>0</v>
      </c>
      <c r="R24" s="69">
        <f>0.61*L24*I24^2/H24*0.102</f>
        <v>0.05277966003762486</v>
      </c>
      <c r="S24" s="49">
        <f>0.61*L24*M24*I24^2/H24*0.102</f>
        <v>0.4222372803009989</v>
      </c>
      <c r="T24" s="49">
        <f>N24*P24*(I24/4.04)^2</f>
        <v>0</v>
      </c>
      <c r="U24" s="49">
        <f>O24*Q24</f>
        <v>0</v>
      </c>
      <c r="V24" s="49">
        <f>S24+T24+U24</f>
        <v>0.4222372803009989</v>
      </c>
      <c r="W24" s="49"/>
    </row>
    <row r="25" spans="1:23" s="31" customFormat="1" ht="8.25">
      <c r="A25" s="44">
        <v>14</v>
      </c>
      <c r="B25" s="44">
        <v>15</v>
      </c>
      <c r="C25" s="64">
        <f>675</f>
        <v>675</v>
      </c>
      <c r="D25" s="64">
        <f>C25/I24/0.0036</f>
        <v>51200</v>
      </c>
      <c r="E25" s="65">
        <v>300</v>
      </c>
      <c r="F25" s="65">
        <v>250</v>
      </c>
      <c r="G25" s="66">
        <f>1.3*((E25*F25)^0.625)/(E25+F25)^0.25</f>
        <v>299.0652614325461</v>
      </c>
      <c r="H25" s="46">
        <f>2*(E25/1000)*(F25/1000)/(E25/1000+F25/1000)</f>
        <v>0.2727272727272727</v>
      </c>
      <c r="I25" s="67">
        <f>C25/E25/F25/0.0036</f>
        <v>2.5</v>
      </c>
      <c r="J25" s="68">
        <f>H25*1.22*I25/(18.189*0.000001)</f>
        <v>45731.9358853253</v>
      </c>
      <c r="K25" s="46">
        <f>0.11*(0.00009/H25+68/J25)^0.25</f>
        <v>0.022710515339431886</v>
      </c>
      <c r="L25" s="46">
        <f t="shared" si="5"/>
        <v>0.022710515339431886</v>
      </c>
      <c r="M25" s="44">
        <v>8</v>
      </c>
      <c r="N25" s="44">
        <v>0</v>
      </c>
      <c r="O25" s="44">
        <v>0</v>
      </c>
      <c r="P25" s="44">
        <f>IF(F25/E25&lt;0.25,0.4,IF(AND(F25/E25&gt;0.25,F25/E25&lt;0.5),0.3,IF(AND(F25/E25&gt;0.55,F25/E25&lt;1),0.25,IF(AND(F25/E25&gt;0.99,F25/E25&lt;4),0.2))))</f>
        <v>0.25</v>
      </c>
      <c r="Q25" s="44">
        <v>1</v>
      </c>
      <c r="R25" s="69">
        <f>0.61*L25*I25^2/H25*0.102</f>
        <v>0.03238235605961244</v>
      </c>
      <c r="S25" s="49">
        <f>0.61*L25*M25*I25^2/H25*0.102</f>
        <v>0.25905884847689953</v>
      </c>
      <c r="T25" s="49">
        <f>N25*P25*(I25/4.04)^2</f>
        <v>0</v>
      </c>
      <c r="U25" s="49">
        <f>O25*Q25</f>
        <v>0</v>
      </c>
      <c r="V25" s="49">
        <f>S25+T25+U25</f>
        <v>0.25905884847689953</v>
      </c>
      <c r="W25" s="49"/>
    </row>
    <row r="26" spans="1:23" s="31" customFormat="1" ht="8.25">
      <c r="A26" s="44"/>
      <c r="B26" s="44"/>
      <c r="C26" s="64"/>
      <c r="D26" s="64"/>
      <c r="E26" s="65"/>
      <c r="F26" s="65"/>
      <c r="G26" s="66"/>
      <c r="H26" s="46"/>
      <c r="I26" s="67"/>
      <c r="J26" s="68"/>
      <c r="K26" s="46"/>
      <c r="L26" s="46"/>
      <c r="M26" s="44"/>
      <c r="N26" s="44"/>
      <c r="O26" s="44"/>
      <c r="P26" s="44"/>
      <c r="Q26" s="44"/>
      <c r="R26" s="69"/>
      <c r="S26" s="49"/>
      <c r="T26" s="49"/>
      <c r="U26" s="49"/>
      <c r="V26" s="49"/>
      <c r="W26" s="49"/>
    </row>
    <row r="27" spans="1:23" s="31" customFormat="1" ht="8.25">
      <c r="A27" s="44"/>
      <c r="B27" s="44"/>
      <c r="C27" s="64"/>
      <c r="D27" s="64"/>
      <c r="E27" s="65"/>
      <c r="F27" s="65"/>
      <c r="G27" s="66"/>
      <c r="H27" s="46"/>
      <c r="I27" s="67"/>
      <c r="J27" s="68"/>
      <c r="K27" s="46"/>
      <c r="L27" s="46"/>
      <c r="M27" s="44"/>
      <c r="N27" s="44"/>
      <c r="O27" s="44"/>
      <c r="P27" s="44"/>
      <c r="Q27" s="44"/>
      <c r="R27" s="69"/>
      <c r="S27" s="49"/>
      <c r="T27" s="49"/>
      <c r="U27" s="49"/>
      <c r="V27" s="49"/>
      <c r="W27" s="49"/>
    </row>
    <row r="28" spans="1:23" s="31" customFormat="1" ht="8.25">
      <c r="A28" s="44">
        <v>2</v>
      </c>
      <c r="B28" s="44">
        <v>16</v>
      </c>
      <c r="C28" s="64">
        <f>((461+135+135+135)+(90+90)+(90+90))</f>
        <v>1226</v>
      </c>
      <c r="D28" s="64">
        <f>C28/E11/0.0036</f>
        <v>567.5925925925926</v>
      </c>
      <c r="E28" s="65">
        <v>300</v>
      </c>
      <c r="F28" s="65">
        <v>300</v>
      </c>
      <c r="G28" s="66">
        <f>1.3*((E28*F28)^0.625)/(E28+F28)^0.25</f>
        <v>327.9496019489486</v>
      </c>
      <c r="H28" s="46">
        <f>2*(E28/1000)*(F28/1000)/(E28/1000+F28/1000)</f>
        <v>0.3</v>
      </c>
      <c r="I28" s="67">
        <f>C28/E28/F28/0.0036</f>
        <v>3.783950617283951</v>
      </c>
      <c r="J28" s="68">
        <f>H28*1.22*I28/(18.189*0.000001)</f>
        <v>76140.85029006137</v>
      </c>
      <c r="K28" s="46">
        <f>0.11*(0.00009/H28+68/J28)^0.25</f>
        <v>0.020443734454451176</v>
      </c>
      <c r="L28" s="46">
        <f>IF(K28&gt;0.018,K28,IF(K28&lt;0.018,0.85*K28+0.0028))</f>
        <v>0.020443734454451176</v>
      </c>
      <c r="M28" s="44">
        <v>49</v>
      </c>
      <c r="N28" s="44">
        <v>5</v>
      </c>
      <c r="O28" s="44">
        <v>0</v>
      </c>
      <c r="P28" s="44">
        <f>IF(F28/E28&lt;0.25,0.4,IF(AND(F28/E28&gt;0.25,F28/E28&lt;0.5),0.3,IF(AND(F28/E28&gt;0.55,F28/E28&lt;1),0.25,IF(AND(F28/E28&gt;0.99,F28/E28&lt;4),0.2))))</f>
        <v>0.2</v>
      </c>
      <c r="Q28" s="44">
        <v>0</v>
      </c>
      <c r="R28" s="69">
        <f>0.61*L28*I28^2/H28*0.102</f>
        <v>0.06070995391972723</v>
      </c>
      <c r="S28" s="49">
        <f>0.61*L28*M28*I28^2/H28*0.102</f>
        <v>2.974787742066635</v>
      </c>
      <c r="T28" s="49">
        <f>N28*P28*(I28/4.04)^2</f>
        <v>0.8772597217211299</v>
      </c>
      <c r="U28" s="49">
        <f>O28*Q28</f>
        <v>0</v>
      </c>
      <c r="V28" s="49">
        <f>S28+T28+U28</f>
        <v>3.852047463787765</v>
      </c>
      <c r="W28" s="49"/>
    </row>
    <row r="29" spans="1:23" s="31" customFormat="1" ht="8.25">
      <c r="A29" s="44">
        <v>2</v>
      </c>
      <c r="B29" s="44">
        <v>16</v>
      </c>
      <c r="C29" s="64">
        <f>((461+135+135+135)+(90+90)+(90+90))</f>
        <v>1226</v>
      </c>
      <c r="D29" s="64">
        <f>C29/E12/0.0036</f>
        <v>851.3888888888889</v>
      </c>
      <c r="E29" s="65">
        <v>300</v>
      </c>
      <c r="F29" s="65">
        <v>300</v>
      </c>
      <c r="G29" s="66">
        <f>1.3*((E29*F29)^0.625)/(E29+F29)^0.25</f>
        <v>327.9496019489486</v>
      </c>
      <c r="H29" s="46">
        <f>2*(E29/1000)*(F29/1000)/(E29/1000+F29/1000)</f>
        <v>0.3</v>
      </c>
      <c r="I29" s="67">
        <f>C29/E29/F29/0.0036</f>
        <v>3.783950617283951</v>
      </c>
      <c r="J29" s="68">
        <f>H29*1.22*I29/(18.189*0.000001)</f>
        <v>76140.85029006137</v>
      </c>
      <c r="K29" s="46">
        <f>0.11*(0.00009/H29+68/J29)^0.25</f>
        <v>0.020443734454451176</v>
      </c>
      <c r="L29" s="46">
        <f>IF(K29&gt;0.018,K29,IF(K29&lt;0.018,0.85*K29+0.0028))</f>
        <v>0.020443734454451176</v>
      </c>
      <c r="M29" s="44">
        <v>49</v>
      </c>
      <c r="N29" s="44">
        <v>5</v>
      </c>
      <c r="O29" s="44">
        <v>0</v>
      </c>
      <c r="P29" s="44">
        <f>IF(F29/E29&lt;0.25,0.4,IF(AND(F29/E29&gt;0.25,F29/E29&lt;0.5),0.3,IF(AND(F29/E29&gt;0.55,F29/E29&lt;1),0.25,IF(AND(F29/E29&gt;0.99,F29/E29&lt;4),0.2))))</f>
        <v>0.2</v>
      </c>
      <c r="Q29" s="44">
        <v>1</v>
      </c>
      <c r="R29" s="69">
        <f>0.61*L29*I29^2/H29*0.102</f>
        <v>0.06070995391972723</v>
      </c>
      <c r="S29" s="49">
        <f>0.61*L29*M29*I29^2/H29*0.102</f>
        <v>2.974787742066635</v>
      </c>
      <c r="T29" s="49">
        <f>N29*P29*(I29/4.04)^2</f>
        <v>0.8772597217211299</v>
      </c>
      <c r="U29" s="49">
        <f>O29*Q29</f>
        <v>0</v>
      </c>
      <c r="V29" s="49">
        <f>S29+T29+U29</f>
        <v>3.852047463787765</v>
      </c>
      <c r="W29" s="49"/>
    </row>
    <row r="30" spans="1:23" s="31" customFormat="1" ht="8.25">
      <c r="A30" s="44"/>
      <c r="B30" s="44"/>
      <c r="C30" s="64"/>
      <c r="D30" s="64"/>
      <c r="E30" s="65"/>
      <c r="F30" s="65"/>
      <c r="G30" s="66"/>
      <c r="H30" s="46"/>
      <c r="I30" s="67"/>
      <c r="J30" s="68"/>
      <c r="K30" s="46"/>
      <c r="L30" s="46"/>
      <c r="M30" s="44"/>
      <c r="N30" s="44"/>
      <c r="O30" s="44"/>
      <c r="P30" s="44"/>
      <c r="Q30" s="44"/>
      <c r="R30" s="69"/>
      <c r="S30" s="49"/>
      <c r="T30" s="49"/>
      <c r="U30" s="49"/>
      <c r="V30" s="49"/>
      <c r="W30" s="49"/>
    </row>
    <row r="31" spans="1:23" s="31" customFormat="1" ht="8.25">
      <c r="A31" s="38"/>
      <c r="B31" s="44"/>
      <c r="C31" s="70"/>
      <c r="D31" s="64"/>
      <c r="E31" s="64"/>
      <c r="F31" s="64"/>
      <c r="G31" s="68"/>
      <c r="H31" s="46"/>
      <c r="I31" s="67"/>
      <c r="J31" s="68"/>
      <c r="K31" s="46"/>
      <c r="L31" s="46"/>
      <c r="M31" s="44"/>
      <c r="N31" s="44"/>
      <c r="O31" s="44"/>
      <c r="P31" s="44"/>
      <c r="Q31" s="44"/>
      <c r="R31" s="48"/>
      <c r="S31" s="49"/>
      <c r="T31" s="49"/>
      <c r="U31" s="49"/>
      <c r="V31" s="49"/>
      <c r="W31" s="49"/>
    </row>
    <row r="32" spans="1:23" s="31" customFormat="1" ht="8.25">
      <c r="A32" s="38"/>
      <c r="B32" s="38" t="s">
        <v>64</v>
      </c>
      <c r="C32" s="70"/>
      <c r="D32" s="64"/>
      <c r="E32" s="71">
        <f>SUM(V11:V18)</f>
        <v>4.853034681718501</v>
      </c>
      <c r="F32" s="72" t="s">
        <v>62</v>
      </c>
      <c r="G32" s="68"/>
      <c r="H32" s="46"/>
      <c r="I32" s="67"/>
      <c r="J32" s="68"/>
      <c r="K32" s="46"/>
      <c r="L32" s="46"/>
      <c r="M32" s="44"/>
      <c r="N32" s="44"/>
      <c r="O32" s="44"/>
      <c r="P32" s="44"/>
      <c r="Q32" s="44"/>
      <c r="R32" s="48"/>
      <c r="S32" s="49"/>
      <c r="T32" s="49"/>
      <c r="U32" s="49"/>
      <c r="V32" s="49"/>
      <c r="W32" s="49"/>
    </row>
    <row r="33" spans="1:23" s="31" customFormat="1" ht="8.25">
      <c r="A33" s="38"/>
      <c r="B33" s="38" t="s">
        <v>65</v>
      </c>
      <c r="C33" s="70"/>
      <c r="D33" s="64"/>
      <c r="E33" s="73">
        <v>10</v>
      </c>
      <c r="F33" s="72" t="s">
        <v>62</v>
      </c>
      <c r="G33" s="68"/>
      <c r="H33" s="46"/>
      <c r="I33" s="67"/>
      <c r="J33" s="68"/>
      <c r="K33" s="46"/>
      <c r="L33" s="46"/>
      <c r="M33" s="44"/>
      <c r="N33" s="44"/>
      <c r="O33" s="44"/>
      <c r="P33" s="44"/>
      <c r="Q33" s="44"/>
      <c r="R33" s="48"/>
      <c r="S33" s="49"/>
      <c r="T33" s="49"/>
      <c r="U33" s="49"/>
      <c r="V33" s="49"/>
      <c r="W33" s="49"/>
    </row>
    <row r="34" spans="1:23" s="31" customFormat="1" ht="8.25">
      <c r="A34" s="44"/>
      <c r="B34" s="74" t="s">
        <v>66</v>
      </c>
      <c r="C34" s="75"/>
      <c r="D34" s="75"/>
      <c r="E34" s="76">
        <f>SUM(E32:E33)</f>
        <v>14.853034681718501</v>
      </c>
      <c r="F34" s="72" t="s">
        <v>62</v>
      </c>
      <c r="G34" s="57"/>
      <c r="H34" s="68"/>
      <c r="I34" s="77"/>
      <c r="K34" s="32"/>
      <c r="L34" s="32"/>
      <c r="N34" s="95"/>
      <c r="O34" s="95"/>
      <c r="P34" s="95"/>
      <c r="Q34" s="95"/>
      <c r="R34" s="95"/>
      <c r="S34" s="95"/>
      <c r="T34" s="95"/>
      <c r="U34" s="95"/>
      <c r="V34" s="95"/>
      <c r="W34" s="49"/>
    </row>
    <row r="35" spans="1:23" s="31" customFormat="1" ht="8.25">
      <c r="A35" s="44"/>
      <c r="B35" s="57"/>
      <c r="C35" s="78"/>
      <c r="D35" s="75"/>
      <c r="E35" s="79">
        <f>C11</f>
        <v>3386</v>
      </c>
      <c r="F35" s="72" t="s">
        <v>51</v>
      </c>
      <c r="G35" s="57"/>
      <c r="H35" s="68"/>
      <c r="I35" s="77"/>
      <c r="K35" s="32"/>
      <c r="L35" s="32"/>
      <c r="P35" s="57"/>
      <c r="Q35" s="57"/>
      <c r="R35" s="62"/>
      <c r="S35" s="63"/>
      <c r="T35" s="49"/>
      <c r="U35" s="49"/>
      <c r="V35" s="35"/>
      <c r="W35" s="49"/>
    </row>
    <row r="36" spans="1:23" s="31" customFormat="1" ht="8.25">
      <c r="A36" s="44"/>
      <c r="B36" s="72" t="s">
        <v>67</v>
      </c>
      <c r="C36" s="78"/>
      <c r="D36" s="74"/>
      <c r="E36" s="79">
        <f>SUM(W11:W12)*1.15</f>
        <v>123.97</v>
      </c>
      <c r="F36" s="72" t="s">
        <v>63</v>
      </c>
      <c r="G36" s="57"/>
      <c r="H36" s="68"/>
      <c r="I36" s="77"/>
      <c r="K36" s="32"/>
      <c r="L36" s="32"/>
      <c r="P36" s="57"/>
      <c r="Q36" s="57"/>
      <c r="R36" s="62"/>
      <c r="S36" s="57"/>
      <c r="T36" s="44"/>
      <c r="U36" s="44"/>
      <c r="W36" s="49"/>
    </row>
    <row r="37" spans="1:23" s="31" customFormat="1" ht="8.25">
      <c r="A37" s="44"/>
      <c r="B37" s="80" t="s">
        <v>68</v>
      </c>
      <c r="C37" s="60"/>
      <c r="D37" s="60"/>
      <c r="E37" s="72" t="s">
        <v>26</v>
      </c>
      <c r="F37" s="57"/>
      <c r="G37" s="57"/>
      <c r="H37" s="68"/>
      <c r="I37" s="77"/>
      <c r="K37" s="32"/>
      <c r="L37" s="32"/>
      <c r="P37" s="57"/>
      <c r="Q37" s="57"/>
      <c r="R37" s="62"/>
      <c r="S37" s="57"/>
      <c r="T37" s="44"/>
      <c r="U37" s="44"/>
      <c r="W37" s="49"/>
    </row>
    <row r="38" spans="2:23" s="31" customFormat="1" ht="8.25">
      <c r="B38" s="81"/>
      <c r="C38" s="60"/>
      <c r="D38" s="60"/>
      <c r="E38" s="82"/>
      <c r="F38" s="57"/>
      <c r="H38" s="32"/>
      <c r="I38" s="33"/>
      <c r="K38" s="32"/>
      <c r="L38" s="32"/>
      <c r="R38" s="37"/>
      <c r="W38" s="49"/>
    </row>
    <row r="39" spans="2:23" s="31" customFormat="1" ht="8.25">
      <c r="B39" s="31" t="s">
        <v>69</v>
      </c>
      <c r="C39" s="31" t="s">
        <v>70</v>
      </c>
      <c r="F39" s="32"/>
      <c r="I39" s="83"/>
      <c r="J39" s="32"/>
      <c r="L39" s="32"/>
      <c r="R39" s="37"/>
      <c r="W39" s="49"/>
    </row>
    <row r="40" spans="2:23" s="31" customFormat="1" ht="8.25">
      <c r="B40" s="31" t="s">
        <v>33</v>
      </c>
      <c r="C40" s="31" t="s">
        <v>71</v>
      </c>
      <c r="F40" s="32"/>
      <c r="I40" s="83"/>
      <c r="J40" s="32"/>
      <c r="L40" s="32"/>
      <c r="R40" s="37"/>
      <c r="W40" s="35"/>
    </row>
    <row r="41" spans="2:23" s="31" customFormat="1" ht="8.25">
      <c r="B41" s="31" t="s">
        <v>34</v>
      </c>
      <c r="C41" s="31" t="s">
        <v>72</v>
      </c>
      <c r="F41" s="32"/>
      <c r="I41" s="83"/>
      <c r="J41" s="32"/>
      <c r="L41" s="32"/>
      <c r="R41" s="37"/>
      <c r="W41" s="35"/>
    </row>
    <row r="42" spans="2:23" s="31" customFormat="1" ht="8.25">
      <c r="B42" s="31" t="s">
        <v>35</v>
      </c>
      <c r="C42" s="31" t="s">
        <v>73</v>
      </c>
      <c r="F42" s="32"/>
      <c r="I42" s="83"/>
      <c r="J42" s="32"/>
      <c r="L42" s="32"/>
      <c r="R42" s="37"/>
      <c r="W42" s="35"/>
    </row>
    <row r="43" spans="2:23" s="31" customFormat="1" ht="8.25">
      <c r="B43" s="31" t="s">
        <v>36</v>
      </c>
      <c r="C43" s="31" t="s">
        <v>74</v>
      </c>
      <c r="F43" s="32"/>
      <c r="I43" s="83"/>
      <c r="J43" s="32"/>
      <c r="L43" s="32"/>
      <c r="R43" s="37"/>
      <c r="W43" s="35"/>
    </row>
    <row r="44" spans="2:23" s="31" customFormat="1" ht="8.25">
      <c r="B44" s="31" t="s">
        <v>37</v>
      </c>
      <c r="C44" s="31" t="s">
        <v>75</v>
      </c>
      <c r="F44" s="32"/>
      <c r="I44" s="83"/>
      <c r="J44" s="32"/>
      <c r="L44" s="32"/>
      <c r="R44" s="37"/>
      <c r="W44" s="35"/>
    </row>
    <row r="45" spans="2:23" s="31" customFormat="1" ht="8.25">
      <c r="B45" s="31" t="s">
        <v>76</v>
      </c>
      <c r="C45" s="31" t="s">
        <v>77</v>
      </c>
      <c r="F45" s="32"/>
      <c r="I45" s="83"/>
      <c r="J45" s="32"/>
      <c r="L45" s="32"/>
      <c r="R45" s="37"/>
      <c r="W45" s="35"/>
    </row>
    <row r="46" spans="2:23" s="31" customFormat="1" ht="8.25">
      <c r="B46" s="31" t="s">
        <v>39</v>
      </c>
      <c r="C46" s="31" t="s">
        <v>78</v>
      </c>
      <c r="F46" s="32"/>
      <c r="I46" s="83"/>
      <c r="J46" s="32"/>
      <c r="L46" s="32"/>
      <c r="R46" s="37"/>
      <c r="W46" s="35"/>
    </row>
    <row r="47" spans="2:23" s="31" customFormat="1" ht="8.25">
      <c r="B47" s="31" t="s">
        <v>79</v>
      </c>
      <c r="D47" s="31" t="s">
        <v>80</v>
      </c>
      <c r="I47" s="83"/>
      <c r="J47" s="32"/>
      <c r="L47" s="32"/>
      <c r="R47" s="37"/>
      <c r="W47" s="35"/>
    </row>
    <row r="48" spans="2:23" s="31" customFormat="1" ht="8.25">
      <c r="B48" s="31" t="s">
        <v>81</v>
      </c>
      <c r="D48" s="31" t="s">
        <v>82</v>
      </c>
      <c r="I48" s="83"/>
      <c r="J48" s="32"/>
      <c r="R48" s="37"/>
      <c r="W48" s="35"/>
    </row>
    <row r="49" spans="2:23" s="31" customFormat="1" ht="8.25">
      <c r="B49" s="31" t="s">
        <v>83</v>
      </c>
      <c r="D49" s="31" t="s">
        <v>84</v>
      </c>
      <c r="I49" s="83"/>
      <c r="J49" s="32"/>
      <c r="R49" s="37"/>
      <c r="W49" s="35"/>
    </row>
    <row r="50" spans="2:23" s="31" customFormat="1" ht="8.25">
      <c r="B50" s="31" t="s">
        <v>42</v>
      </c>
      <c r="D50" s="31" t="s">
        <v>85</v>
      </c>
      <c r="I50" s="83"/>
      <c r="J50" s="32"/>
      <c r="R50" s="37"/>
      <c r="W50" s="35"/>
    </row>
    <row r="51" spans="2:23" s="31" customFormat="1" ht="8.25">
      <c r="B51" s="31" t="s">
        <v>44</v>
      </c>
      <c r="D51" s="31" t="s">
        <v>86</v>
      </c>
      <c r="I51" s="83"/>
      <c r="J51" s="32"/>
      <c r="R51" s="37"/>
      <c r="W51" s="35"/>
    </row>
    <row r="52" spans="2:23" s="31" customFormat="1" ht="8.25">
      <c r="B52" s="31" t="s">
        <v>45</v>
      </c>
      <c r="D52" s="31" t="s">
        <v>87</v>
      </c>
      <c r="I52" s="83"/>
      <c r="J52" s="32"/>
      <c r="R52" s="37"/>
      <c r="W52" s="35"/>
    </row>
    <row r="53" spans="2:23" s="31" customFormat="1" ht="8.25">
      <c r="B53" s="31" t="s">
        <v>88</v>
      </c>
      <c r="D53" s="31" t="s">
        <v>89</v>
      </c>
      <c r="I53" s="83"/>
      <c r="J53" s="32"/>
      <c r="R53" s="37"/>
      <c r="W53" s="35"/>
    </row>
    <row r="54" spans="2:23" s="31" customFormat="1" ht="8.25">
      <c r="B54" s="31" t="s">
        <v>90</v>
      </c>
      <c r="D54" s="31" t="s">
        <v>91</v>
      </c>
      <c r="I54" s="83"/>
      <c r="J54" s="32"/>
      <c r="R54" s="37"/>
      <c r="W54" s="35"/>
    </row>
    <row r="55" spans="2:23" s="31" customFormat="1" ht="8.25">
      <c r="B55" s="31" t="s">
        <v>48</v>
      </c>
      <c r="D55" s="31" t="s">
        <v>92</v>
      </c>
      <c r="I55" s="83"/>
      <c r="J55" s="32"/>
      <c r="K55" s="31" t="s">
        <v>93</v>
      </c>
      <c r="R55" s="37"/>
      <c r="W55" s="35"/>
    </row>
    <row r="56" spans="1:23" s="31" customFormat="1" ht="13.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  <c r="S56" s="29"/>
      <c r="T56" s="29"/>
      <c r="U56" s="29"/>
      <c r="V56" s="29"/>
      <c r="W56" s="35"/>
    </row>
    <row r="57" spans="1:23" s="31" customFormat="1" ht="13.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/>
      <c r="S57" s="29"/>
      <c r="T57" s="29"/>
      <c r="U57" s="29"/>
      <c r="V57" s="29"/>
      <c r="W57" s="35"/>
    </row>
  </sheetData>
  <sheetProtection selectLockedCells="1" selectUnlockedCells="1"/>
  <mergeCells count="3">
    <mergeCell ref="A8:B8"/>
    <mergeCell ref="E8:F8"/>
    <mergeCell ref="N34:V34"/>
  </mergeCells>
  <printOptions/>
  <pageMargins left="1.417361111111111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5"/>
  <sheetViews>
    <sheetView zoomScale="145" zoomScaleNormal="145" workbookViewId="0" topLeftCell="A1">
      <selection activeCell="E28" sqref="E28"/>
    </sheetView>
  </sheetViews>
  <sheetFormatPr defaultColWidth="11.421875" defaultRowHeight="12.75"/>
  <cols>
    <col min="1" max="1" width="2.57421875" style="29" customWidth="1"/>
    <col min="2" max="2" width="2.421875" style="29" customWidth="1"/>
    <col min="3" max="3" width="5.421875" style="29" customWidth="1"/>
    <col min="4" max="4" width="5.8515625" style="29" customWidth="1"/>
    <col min="5" max="5" width="4.421875" style="29" customWidth="1"/>
    <col min="6" max="6" width="4.28125" style="29" customWidth="1"/>
    <col min="7" max="7" width="5.28125" style="29" customWidth="1"/>
    <col min="8" max="8" width="0" style="29" hidden="1" customWidth="1"/>
    <col min="9" max="9" width="5.140625" style="29" customWidth="1"/>
    <col min="10" max="12" width="0" style="29" hidden="1" customWidth="1"/>
    <col min="13" max="13" width="4.00390625" style="29" customWidth="1"/>
    <col min="14" max="14" width="4.8515625" style="29" customWidth="1"/>
    <col min="15" max="15" width="3.57421875" style="29" customWidth="1"/>
    <col min="16" max="16" width="0" style="29" hidden="1" customWidth="1"/>
    <col min="17" max="17" width="5.00390625" style="29" customWidth="1"/>
    <col min="18" max="18" width="5.8515625" style="30" customWidth="1"/>
    <col min="19" max="19" width="5.421875" style="29" customWidth="1"/>
    <col min="20" max="20" width="6.8515625" style="29" customWidth="1"/>
    <col min="21" max="21" width="5.8515625" style="29" customWidth="1"/>
    <col min="22" max="22" width="6.7109375" style="29" customWidth="1"/>
    <col min="23" max="23" width="8.00390625" style="29" hidden="1" customWidth="1"/>
    <col min="24" max="16384" width="11.421875" style="29" customWidth="1"/>
  </cols>
  <sheetData>
    <row r="2" spans="1:23" s="31" customFormat="1" ht="8.25">
      <c r="A2" s="96" t="s">
        <v>123</v>
      </c>
      <c r="B2" s="96"/>
      <c r="C2" s="96"/>
      <c r="D2" s="96"/>
      <c r="E2" s="96"/>
      <c r="F2" s="96"/>
      <c r="H2" s="32"/>
      <c r="I2" s="33"/>
      <c r="K2" s="32"/>
      <c r="L2" s="32"/>
      <c r="R2" s="34"/>
      <c r="W2" s="35"/>
    </row>
    <row r="3" spans="1:23" s="31" customFormat="1" ht="8.25">
      <c r="A3" s="36"/>
      <c r="B3" s="36"/>
      <c r="C3" s="36"/>
      <c r="D3" s="36"/>
      <c r="H3" s="32"/>
      <c r="I3" s="33"/>
      <c r="K3" s="32"/>
      <c r="L3" s="32"/>
      <c r="R3" s="37"/>
      <c r="W3" s="35"/>
    </row>
    <row r="4" spans="1:23" s="31" customFormat="1" ht="8.25">
      <c r="A4" s="36"/>
      <c r="B4" s="36"/>
      <c r="C4" s="36"/>
      <c r="D4" s="36"/>
      <c r="H4" s="32"/>
      <c r="I4" s="33"/>
      <c r="K4" s="32"/>
      <c r="L4" s="32"/>
      <c r="R4" s="37"/>
      <c r="W4" s="35"/>
    </row>
    <row r="5" spans="1:23" s="31" customFormat="1" ht="8.25">
      <c r="A5" s="31" t="s">
        <v>25</v>
      </c>
      <c r="E5" s="31" t="s">
        <v>94</v>
      </c>
      <c r="H5" s="32"/>
      <c r="I5" s="33"/>
      <c r="K5" s="32"/>
      <c r="L5" s="32"/>
      <c r="R5" s="37"/>
      <c r="W5" s="35"/>
    </row>
    <row r="6" spans="1:23" s="31" customFormat="1" ht="8.25">
      <c r="A6" s="31" t="s">
        <v>27</v>
      </c>
      <c r="E6" s="91">
        <v>4</v>
      </c>
      <c r="F6" s="31" t="s">
        <v>28</v>
      </c>
      <c r="H6" s="32"/>
      <c r="I6" s="33"/>
      <c r="K6" s="32"/>
      <c r="L6" s="32"/>
      <c r="R6" s="37"/>
      <c r="W6" s="35"/>
    </row>
    <row r="7" spans="1:23" s="31" customFormat="1" ht="8.25">
      <c r="A7" s="39"/>
      <c r="B7" s="39"/>
      <c r="C7" s="39"/>
      <c r="D7" s="39"/>
      <c r="E7" s="39"/>
      <c r="F7" s="39"/>
      <c r="G7" s="39"/>
      <c r="H7" s="40"/>
      <c r="I7" s="41"/>
      <c r="J7" s="39"/>
      <c r="K7" s="40"/>
      <c r="L7" s="40"/>
      <c r="M7" s="39"/>
      <c r="N7" s="39"/>
      <c r="O7" s="39"/>
      <c r="P7" s="39"/>
      <c r="Q7" s="39"/>
      <c r="R7" s="42"/>
      <c r="S7" s="39"/>
      <c r="T7" s="39"/>
      <c r="U7" s="39"/>
      <c r="V7" s="39"/>
      <c r="W7" s="43"/>
    </row>
    <row r="8" spans="1:23" s="31" customFormat="1" ht="8.25">
      <c r="A8" s="93" t="s">
        <v>29</v>
      </c>
      <c r="B8" s="93"/>
      <c r="C8" s="44" t="s">
        <v>30</v>
      </c>
      <c r="D8" s="44" t="s">
        <v>31</v>
      </c>
      <c r="E8" s="94" t="s">
        <v>32</v>
      </c>
      <c r="F8" s="94"/>
      <c r="G8" s="45" t="s">
        <v>33</v>
      </c>
      <c r="H8" s="46" t="s">
        <v>34</v>
      </c>
      <c r="I8" s="47" t="s">
        <v>35</v>
      </c>
      <c r="J8" s="44" t="s">
        <v>36</v>
      </c>
      <c r="K8" s="46" t="s">
        <v>37</v>
      </c>
      <c r="L8" s="46" t="s">
        <v>38</v>
      </c>
      <c r="M8" s="44" t="s">
        <v>39</v>
      </c>
      <c r="N8" s="44" t="s">
        <v>40</v>
      </c>
      <c r="O8" s="44" t="s">
        <v>40</v>
      </c>
      <c r="P8" s="44" t="s">
        <v>41</v>
      </c>
      <c r="Q8" s="44" t="s">
        <v>42</v>
      </c>
      <c r="R8" s="48" t="s">
        <v>43</v>
      </c>
      <c r="S8" s="44" t="s">
        <v>44</v>
      </c>
      <c r="T8" s="44" t="s">
        <v>45</v>
      </c>
      <c r="U8" s="44" t="s">
        <v>46</v>
      </c>
      <c r="V8" s="44" t="s">
        <v>47</v>
      </c>
      <c r="W8" s="49" t="s">
        <v>48</v>
      </c>
    </row>
    <row r="9" spans="1:23" s="31" customFormat="1" ht="8.25">
      <c r="A9" s="50" t="s">
        <v>49</v>
      </c>
      <c r="B9" s="50" t="s">
        <v>50</v>
      </c>
      <c r="C9" s="50" t="s">
        <v>51</v>
      </c>
      <c r="D9" s="50" t="s">
        <v>52</v>
      </c>
      <c r="E9" s="51" t="s">
        <v>53</v>
      </c>
      <c r="F9" s="51" t="s">
        <v>54</v>
      </c>
      <c r="G9" s="52" t="s">
        <v>55</v>
      </c>
      <c r="H9" s="53" t="s">
        <v>56</v>
      </c>
      <c r="I9" s="54" t="s">
        <v>28</v>
      </c>
      <c r="J9" s="50"/>
      <c r="K9" s="53"/>
      <c r="L9" s="53"/>
      <c r="M9" s="50" t="s">
        <v>56</v>
      </c>
      <c r="N9" s="50" t="s">
        <v>57</v>
      </c>
      <c r="O9" s="50" t="s">
        <v>58</v>
      </c>
      <c r="P9" s="50" t="s">
        <v>59</v>
      </c>
      <c r="Q9" s="50" t="s">
        <v>60</v>
      </c>
      <c r="R9" s="55" t="s">
        <v>61</v>
      </c>
      <c r="S9" s="50" t="s">
        <v>60</v>
      </c>
      <c r="T9" s="50" t="s">
        <v>62</v>
      </c>
      <c r="U9" s="50" t="s">
        <v>62</v>
      </c>
      <c r="V9" s="50" t="s">
        <v>62</v>
      </c>
      <c r="W9" s="56" t="s">
        <v>63</v>
      </c>
    </row>
    <row r="10" spans="1:23" s="31" customFormat="1" ht="8.25">
      <c r="A10" s="57"/>
      <c r="B10" s="57"/>
      <c r="C10" s="57"/>
      <c r="D10" s="57"/>
      <c r="E10" s="58"/>
      <c r="F10" s="58"/>
      <c r="G10" s="59"/>
      <c r="H10" s="60"/>
      <c r="I10" s="61"/>
      <c r="J10" s="57"/>
      <c r="K10" s="60"/>
      <c r="L10" s="60"/>
      <c r="M10" s="57"/>
      <c r="N10" s="57"/>
      <c r="O10" s="57"/>
      <c r="P10" s="57"/>
      <c r="Q10" s="57"/>
      <c r="R10" s="62"/>
      <c r="S10" s="57"/>
      <c r="T10" s="57"/>
      <c r="U10" s="57"/>
      <c r="V10" s="57"/>
      <c r="W10" s="63"/>
    </row>
    <row r="11" spans="1:23" s="31" customFormat="1" ht="8.25">
      <c r="A11" s="44">
        <v>1</v>
      </c>
      <c r="B11" s="44">
        <v>2</v>
      </c>
      <c r="C11" s="64">
        <f>90*17</f>
        <v>1530</v>
      </c>
      <c r="D11" s="64">
        <f>C11/E6/0.0036</f>
        <v>106250</v>
      </c>
      <c r="E11" s="65">
        <v>320</v>
      </c>
      <c r="F11" s="65">
        <v>320</v>
      </c>
      <c r="G11" s="66">
        <f aca="true" t="shared" si="0" ref="G11:G17">1.3*((E11*F11)^0.625)/(E11+F11)^0.25</f>
        <v>349.8129087455452</v>
      </c>
      <c r="H11" s="46">
        <f aca="true" t="shared" si="1" ref="H11:H17">2*(E11/1000)*(F11/1000)/(E11/1000+F11/1000)</f>
        <v>0.32</v>
      </c>
      <c r="I11" s="67">
        <f aca="true" t="shared" si="2" ref="I11:I17">C11/E11/F11/0.0036</f>
        <v>4.150390625</v>
      </c>
      <c r="J11" s="68">
        <f aca="true" t="shared" si="3" ref="J11:J17">H11*1.22*I11/(18.189*0.000001)</f>
        <v>89082.00010995659</v>
      </c>
      <c r="K11" s="46">
        <f aca="true" t="shared" si="4" ref="K11:K17">0.11*(0.00009/H11+68/J11)^0.25</f>
        <v>0.01977558417631491</v>
      </c>
      <c r="L11" s="46">
        <f aca="true" t="shared" si="5" ref="L11:L17">IF(K11&gt;0.018,K11,IF(K11&lt;0.018,0.85*K11+0.0028))</f>
        <v>0.01977558417631491</v>
      </c>
      <c r="M11" s="44">
        <v>3</v>
      </c>
      <c r="N11" s="44">
        <v>1</v>
      </c>
      <c r="O11" s="44">
        <v>1</v>
      </c>
      <c r="P11" s="44">
        <f aca="true" t="shared" si="6" ref="P11:P17">IF(F11/E11&lt;0.25,0.4,IF(AND(F11/E11&gt;0.25,F11/E11&lt;0.5),0.3,IF(AND(F11/E11&gt;0.55,F11/E11&lt;1),0.25,IF(AND(F11/E11&gt;0.99,F11/E11&lt;4),0.2))))</f>
        <v>0.2</v>
      </c>
      <c r="Q11" s="44">
        <v>3</v>
      </c>
      <c r="R11" s="69">
        <f aca="true" t="shared" si="7" ref="R11:R17">0.61*L11*I11^2/H11*0.102</f>
        <v>0.06623496281227853</v>
      </c>
      <c r="S11" s="49">
        <f aca="true" t="shared" si="8" ref="S11:S17">0.61*L11*M11*I11^2/H11*0.102</f>
        <v>0.19870488843683562</v>
      </c>
      <c r="T11" s="49">
        <f aca="true" t="shared" si="9" ref="T11:T17">N11*P11*(I11/4.04)^2</f>
        <v>0.2110790895511211</v>
      </c>
      <c r="U11" s="49">
        <f aca="true" t="shared" si="10" ref="U11:U17">O11*Q11</f>
        <v>3</v>
      </c>
      <c r="V11" s="49">
        <f aca="true" t="shared" si="11" ref="V11:V17">S11+T11+U11</f>
        <v>3.409783977987957</v>
      </c>
      <c r="W11" s="49">
        <f>M11*(2*E11+2*F11)*1.1/1000</f>
        <v>4.224</v>
      </c>
    </row>
    <row r="12" spans="1:23" s="31" customFormat="1" ht="8.25">
      <c r="A12" s="44">
        <v>2</v>
      </c>
      <c r="B12" s="44">
        <v>3</v>
      </c>
      <c r="C12" s="64">
        <f>90*17</f>
        <v>1530</v>
      </c>
      <c r="D12" s="64">
        <f aca="true" t="shared" si="12" ref="D12:D17">C12/I11/0.0036</f>
        <v>102400</v>
      </c>
      <c r="E12" s="65">
        <v>320</v>
      </c>
      <c r="F12" s="65">
        <v>320</v>
      </c>
      <c r="G12" s="66">
        <f t="shared" si="0"/>
        <v>349.8129087455452</v>
      </c>
      <c r="H12" s="46">
        <f t="shared" si="1"/>
        <v>0.32</v>
      </c>
      <c r="I12" s="67">
        <f t="shared" si="2"/>
        <v>4.150390625</v>
      </c>
      <c r="J12" s="68">
        <f t="shared" si="3"/>
        <v>89082.00010995659</v>
      </c>
      <c r="K12" s="46">
        <f t="shared" si="4"/>
        <v>0.01977558417631491</v>
      </c>
      <c r="L12" s="46">
        <f t="shared" si="5"/>
        <v>0.01977558417631491</v>
      </c>
      <c r="M12" s="44">
        <v>2</v>
      </c>
      <c r="N12" s="44">
        <v>0</v>
      </c>
      <c r="O12" s="44">
        <v>0</v>
      </c>
      <c r="P12" s="44">
        <f t="shared" si="6"/>
        <v>0.2</v>
      </c>
      <c r="Q12" s="44">
        <v>0</v>
      </c>
      <c r="R12" s="69">
        <f t="shared" si="7"/>
        <v>0.06623496281227853</v>
      </c>
      <c r="S12" s="49">
        <f t="shared" si="8"/>
        <v>0.13246992562455706</v>
      </c>
      <c r="T12" s="49">
        <f t="shared" si="9"/>
        <v>0</v>
      </c>
      <c r="U12" s="49">
        <f t="shared" si="10"/>
        <v>0</v>
      </c>
      <c r="V12" s="49">
        <f t="shared" si="11"/>
        <v>0.13246992562455706</v>
      </c>
      <c r="W12" s="49"/>
    </row>
    <row r="13" spans="1:23" s="31" customFormat="1" ht="8.25">
      <c r="A13" s="44">
        <v>3</v>
      </c>
      <c r="B13" s="44">
        <v>4</v>
      </c>
      <c r="C13" s="64">
        <f>90*11</f>
        <v>990</v>
      </c>
      <c r="D13" s="64">
        <f t="shared" si="12"/>
        <v>66258.82352941176</v>
      </c>
      <c r="E13" s="65">
        <v>274</v>
      </c>
      <c r="F13" s="65">
        <v>274</v>
      </c>
      <c r="G13" s="66">
        <f t="shared" si="0"/>
        <v>299.52730311337325</v>
      </c>
      <c r="H13" s="46">
        <f t="shared" si="1"/>
        <v>0.274</v>
      </c>
      <c r="I13" s="67">
        <f t="shared" si="2"/>
        <v>3.6629548723959724</v>
      </c>
      <c r="J13" s="68">
        <f t="shared" si="3"/>
        <v>67318.29978253483</v>
      </c>
      <c r="K13" s="46">
        <f t="shared" si="4"/>
        <v>0.021040442892546963</v>
      </c>
      <c r="L13" s="46">
        <f t="shared" si="5"/>
        <v>0.021040442892546963</v>
      </c>
      <c r="M13" s="44">
        <v>3</v>
      </c>
      <c r="N13" s="44">
        <v>0</v>
      </c>
      <c r="O13" s="44">
        <v>0</v>
      </c>
      <c r="P13" s="44">
        <f t="shared" si="6"/>
        <v>0.2</v>
      </c>
      <c r="Q13" s="44">
        <v>0</v>
      </c>
      <c r="R13" s="69">
        <f t="shared" si="7"/>
        <v>0.06410581968355684</v>
      </c>
      <c r="S13" s="49">
        <f t="shared" si="8"/>
        <v>0.19231745905067055</v>
      </c>
      <c r="T13" s="49">
        <f t="shared" si="9"/>
        <v>0</v>
      </c>
      <c r="U13" s="49">
        <f t="shared" si="10"/>
        <v>0</v>
      </c>
      <c r="V13" s="49">
        <f t="shared" si="11"/>
        <v>0.19231745905067055</v>
      </c>
      <c r="W13" s="49"/>
    </row>
    <row r="14" spans="1:23" s="31" customFormat="1" ht="8.25">
      <c r="A14" s="44">
        <v>4</v>
      </c>
      <c r="B14" s="44">
        <v>5</v>
      </c>
      <c r="C14" s="64">
        <f>90*5</f>
        <v>450</v>
      </c>
      <c r="D14" s="64">
        <f>C14/I13/0.0036</f>
        <v>34125.454545454544</v>
      </c>
      <c r="E14" s="65">
        <v>229</v>
      </c>
      <c r="F14" s="65">
        <v>229</v>
      </c>
      <c r="G14" s="66">
        <f>1.3*((E14*F14)^0.625)/(E14+F14)^0.25</f>
        <v>250.33486282103092</v>
      </c>
      <c r="H14" s="46">
        <f>2*(E14/1000)*(F14/1000)/(E14/1000+F14/1000)</f>
        <v>0.229</v>
      </c>
      <c r="I14" s="67">
        <f>C14/E14/F14/0.0036</f>
        <v>2.383631128315631</v>
      </c>
      <c r="J14" s="68">
        <f>H14*1.22*I14/(18.189*0.000001)</f>
        <v>36612.17574516582</v>
      </c>
      <c r="K14" s="46">
        <f>0.11*(0.00009/H14+68/J14)^0.25</f>
        <v>0.023958172842206915</v>
      </c>
      <c r="L14" s="46">
        <f t="shared" si="5"/>
        <v>0.023958172842206915</v>
      </c>
      <c r="M14" s="44">
        <v>7</v>
      </c>
      <c r="N14" s="44">
        <v>1</v>
      </c>
      <c r="O14" s="44">
        <v>0</v>
      </c>
      <c r="P14" s="44">
        <f>IF(F14/E14&lt;0.25,0.4,IF(AND(F14/E14&gt;0.25,F14/E14&lt;0.5),0.3,IF(AND(F14/E14&gt;0.55,F14/E14&lt;1),0.25,IF(AND(F14/E14&gt;0.99,F14/E14&lt;4),0.2))))</f>
        <v>0.2</v>
      </c>
      <c r="Q14" s="44">
        <v>0</v>
      </c>
      <c r="R14" s="69">
        <f>0.61*L14*I14^2/H14*0.102</f>
        <v>0.03698505891324064</v>
      </c>
      <c r="S14" s="49">
        <f>0.61*L14*M14*I14^2/H14*0.102</f>
        <v>0.2588954123926845</v>
      </c>
      <c r="T14" s="49">
        <f>N14*P14*(I14/4.04)^2</f>
        <v>0.06962181839862817</v>
      </c>
      <c r="U14" s="49">
        <f>O14*Q14</f>
        <v>0</v>
      </c>
      <c r="V14" s="49">
        <f>S14+T14+U14</f>
        <v>0.3285172307913127</v>
      </c>
      <c r="W14" s="49"/>
    </row>
    <row r="15" spans="1:23" s="31" customFormat="1" ht="8.25">
      <c r="A15" s="44">
        <v>5</v>
      </c>
      <c r="B15" s="44">
        <v>6</v>
      </c>
      <c r="C15" s="64">
        <f>90*3</f>
        <v>270</v>
      </c>
      <c r="D15" s="64">
        <f>C15/I14/0.0036</f>
        <v>31464.600000000002</v>
      </c>
      <c r="E15" s="65">
        <v>137</v>
      </c>
      <c r="F15" s="65">
        <v>137</v>
      </c>
      <c r="G15" s="66">
        <f t="shared" si="0"/>
        <v>149.76365155668657</v>
      </c>
      <c r="H15" s="46">
        <f t="shared" si="1"/>
        <v>0.137</v>
      </c>
      <c r="I15" s="67">
        <f t="shared" si="2"/>
        <v>3.995950769886515</v>
      </c>
      <c r="J15" s="68">
        <f t="shared" si="3"/>
        <v>36719.072608655355</v>
      </c>
      <c r="K15" s="46">
        <f t="shared" si="4"/>
        <v>0.02461844515980284</v>
      </c>
      <c r="L15" s="46">
        <f t="shared" si="5"/>
        <v>0.02461844515980284</v>
      </c>
      <c r="M15" s="44">
        <v>2</v>
      </c>
      <c r="N15" s="44">
        <v>0</v>
      </c>
      <c r="O15" s="44">
        <v>0</v>
      </c>
      <c r="P15" s="44">
        <f t="shared" si="6"/>
        <v>0.2</v>
      </c>
      <c r="Q15" s="44">
        <v>0</v>
      </c>
      <c r="R15" s="69">
        <f t="shared" si="7"/>
        <v>0.17852963548874573</v>
      </c>
      <c r="S15" s="49">
        <f t="shared" si="8"/>
        <v>0.35705927097749146</v>
      </c>
      <c r="T15" s="49">
        <f t="shared" si="9"/>
        <v>0</v>
      </c>
      <c r="U15" s="49">
        <f t="shared" si="10"/>
        <v>0</v>
      </c>
      <c r="V15" s="49">
        <f t="shared" si="11"/>
        <v>0.35705927097749146</v>
      </c>
      <c r="W15" s="49"/>
    </row>
    <row r="16" spans="1:23" s="31" customFormat="1" ht="8.25">
      <c r="A16" s="44">
        <v>6</v>
      </c>
      <c r="B16" s="44">
        <v>7</v>
      </c>
      <c r="C16" s="64">
        <f>90*2</f>
        <v>180</v>
      </c>
      <c r="D16" s="64">
        <f t="shared" si="12"/>
        <v>12512.666666666668</v>
      </c>
      <c r="E16" s="65">
        <v>114</v>
      </c>
      <c r="F16" s="65">
        <v>114</v>
      </c>
      <c r="G16" s="66">
        <f t="shared" si="0"/>
        <v>124.62084874060054</v>
      </c>
      <c r="H16" s="46">
        <f t="shared" si="1"/>
        <v>0.114</v>
      </c>
      <c r="I16" s="67">
        <f t="shared" si="2"/>
        <v>3.847337642351493</v>
      </c>
      <c r="J16" s="68">
        <f t="shared" si="3"/>
        <v>29418.204370677093</v>
      </c>
      <c r="K16" s="46">
        <f t="shared" si="4"/>
        <v>0.025957746796411687</v>
      </c>
      <c r="L16" s="46">
        <f t="shared" si="5"/>
        <v>0.025957746796411687</v>
      </c>
      <c r="M16" s="44">
        <v>1</v>
      </c>
      <c r="N16" s="44">
        <v>1</v>
      </c>
      <c r="O16" s="44">
        <v>0</v>
      </c>
      <c r="P16" s="44">
        <f t="shared" si="6"/>
        <v>0.2</v>
      </c>
      <c r="Q16" s="44">
        <v>0</v>
      </c>
      <c r="R16" s="69">
        <f t="shared" si="7"/>
        <v>0.20970691460894994</v>
      </c>
      <c r="S16" s="49">
        <f t="shared" si="8"/>
        <v>0.20970691460894994</v>
      </c>
      <c r="T16" s="49">
        <f t="shared" si="9"/>
        <v>0.1813793615117972</v>
      </c>
      <c r="U16" s="49">
        <f t="shared" si="10"/>
        <v>0</v>
      </c>
      <c r="V16" s="49">
        <f t="shared" si="11"/>
        <v>0.39108627612074714</v>
      </c>
      <c r="W16" s="49"/>
    </row>
    <row r="17" spans="1:23" s="31" customFormat="1" ht="8.25">
      <c r="A17" s="44">
        <v>7</v>
      </c>
      <c r="B17" s="44">
        <v>8</v>
      </c>
      <c r="C17" s="64">
        <f>90*1</f>
        <v>90</v>
      </c>
      <c r="D17" s="64">
        <f t="shared" si="12"/>
        <v>6497.999999999999</v>
      </c>
      <c r="E17" s="65">
        <v>92</v>
      </c>
      <c r="F17" s="65">
        <v>92</v>
      </c>
      <c r="G17" s="66">
        <f t="shared" si="0"/>
        <v>100.57121126434426</v>
      </c>
      <c r="H17" s="46">
        <f t="shared" si="1"/>
        <v>0.092</v>
      </c>
      <c r="I17" s="67">
        <f t="shared" si="2"/>
        <v>2.953686200378072</v>
      </c>
      <c r="J17" s="68">
        <f t="shared" si="3"/>
        <v>18226.496186180375</v>
      </c>
      <c r="K17" s="46">
        <f t="shared" si="4"/>
        <v>0.028815556085279654</v>
      </c>
      <c r="L17" s="46">
        <f t="shared" si="5"/>
        <v>0.028815556085279654</v>
      </c>
      <c r="M17" s="44">
        <v>1</v>
      </c>
      <c r="N17" s="44">
        <v>1</v>
      </c>
      <c r="O17" s="44">
        <v>1</v>
      </c>
      <c r="P17" s="44">
        <f t="shared" si="6"/>
        <v>0.2</v>
      </c>
      <c r="Q17" s="44">
        <v>1</v>
      </c>
      <c r="R17" s="69">
        <f t="shared" si="7"/>
        <v>0.17001917028802432</v>
      </c>
      <c r="S17" s="49">
        <f t="shared" si="8"/>
        <v>0.17001917028802432</v>
      </c>
      <c r="T17" s="49">
        <f t="shared" si="9"/>
        <v>0.10690449674423896</v>
      </c>
      <c r="U17" s="49">
        <f t="shared" si="10"/>
        <v>1</v>
      </c>
      <c r="V17" s="49">
        <f t="shared" si="11"/>
        <v>1.2769236670322632</v>
      </c>
      <c r="W17" s="49"/>
    </row>
    <row r="18" spans="1:23" s="31" customFormat="1" ht="8.25">
      <c r="A18" s="44"/>
      <c r="B18" s="44"/>
      <c r="C18" s="64"/>
      <c r="D18" s="64"/>
      <c r="E18" s="85"/>
      <c r="F18" s="85"/>
      <c r="G18" s="86"/>
      <c r="H18" s="46"/>
      <c r="I18" s="67"/>
      <c r="J18" s="68"/>
      <c r="K18" s="46"/>
      <c r="L18" s="46"/>
      <c r="M18" s="44"/>
      <c r="N18" s="44"/>
      <c r="O18" s="44"/>
      <c r="P18" s="44"/>
      <c r="Q18" s="44"/>
      <c r="R18" s="69"/>
      <c r="S18" s="49"/>
      <c r="T18" s="49"/>
      <c r="U18" s="49"/>
      <c r="V18" s="49"/>
      <c r="W18" s="49"/>
    </row>
    <row r="19" spans="1:23" s="31" customFormat="1" ht="8.25">
      <c r="A19" s="44"/>
      <c r="B19" s="44"/>
      <c r="C19" s="64"/>
      <c r="D19" s="64"/>
      <c r="E19" s="85"/>
      <c r="F19" s="85"/>
      <c r="G19" s="86"/>
      <c r="H19" s="46"/>
      <c r="I19" s="67"/>
      <c r="J19" s="68"/>
      <c r="K19" s="46"/>
      <c r="L19" s="46"/>
      <c r="M19" s="44"/>
      <c r="N19" s="44"/>
      <c r="O19" s="44"/>
      <c r="P19" s="44"/>
      <c r="Q19" s="44"/>
      <c r="R19" s="69"/>
      <c r="S19" s="49"/>
      <c r="T19" s="49"/>
      <c r="U19" s="49"/>
      <c r="V19" s="49"/>
      <c r="W19" s="49"/>
    </row>
    <row r="20" spans="1:23" s="31" customFormat="1" ht="8.25">
      <c r="A20" s="44"/>
      <c r="B20" s="44"/>
      <c r="C20" s="64"/>
      <c r="D20" s="64"/>
      <c r="E20" s="85"/>
      <c r="F20" s="85"/>
      <c r="G20" s="86"/>
      <c r="H20" s="46"/>
      <c r="I20" s="67"/>
      <c r="J20" s="68"/>
      <c r="K20" s="46"/>
      <c r="L20" s="46"/>
      <c r="M20" s="44"/>
      <c r="N20" s="44"/>
      <c r="O20" s="44"/>
      <c r="P20" s="44"/>
      <c r="Q20" s="44"/>
      <c r="R20" s="69"/>
      <c r="S20" s="49"/>
      <c r="T20" s="49"/>
      <c r="U20" s="49"/>
      <c r="V20" s="49"/>
      <c r="W20" s="49"/>
    </row>
    <row r="21" spans="1:23" s="31" customFormat="1" ht="8.25">
      <c r="A21" s="38"/>
      <c r="B21" s="44"/>
      <c r="C21" s="70"/>
      <c r="D21" s="64"/>
      <c r="E21" s="64"/>
      <c r="F21" s="64"/>
      <c r="G21" s="68"/>
      <c r="H21" s="46"/>
      <c r="I21" s="67"/>
      <c r="J21" s="68"/>
      <c r="K21" s="46"/>
      <c r="L21" s="46"/>
      <c r="M21" s="44"/>
      <c r="N21" s="44"/>
      <c r="O21" s="44"/>
      <c r="P21" s="44"/>
      <c r="Q21" s="44"/>
      <c r="R21" s="48"/>
      <c r="S21" s="49"/>
      <c r="T21" s="49"/>
      <c r="U21" s="49"/>
      <c r="V21" s="49"/>
      <c r="W21" s="49"/>
    </row>
    <row r="22" spans="1:23" s="31" customFormat="1" ht="8.25">
      <c r="A22" s="38"/>
      <c r="B22" s="38" t="s">
        <v>64</v>
      </c>
      <c r="C22" s="70"/>
      <c r="D22" s="64"/>
      <c r="E22" s="71">
        <f>SUM(V11:V17)</f>
        <v>6.088157807584999</v>
      </c>
      <c r="F22" s="72" t="s">
        <v>62</v>
      </c>
      <c r="G22" s="68"/>
      <c r="H22" s="46"/>
      <c r="I22" s="67"/>
      <c r="J22" s="68"/>
      <c r="K22" s="46"/>
      <c r="L22" s="46"/>
      <c r="M22" s="44"/>
      <c r="N22" s="44"/>
      <c r="O22" s="44"/>
      <c r="P22" s="44"/>
      <c r="Q22" s="44"/>
      <c r="R22" s="48"/>
      <c r="S22" s="49"/>
      <c r="T22" s="49"/>
      <c r="U22" s="49"/>
      <c r="V22" s="49"/>
      <c r="W22" s="49"/>
    </row>
    <row r="23" spans="1:23" s="31" customFormat="1" ht="8.25">
      <c r="A23" s="38"/>
      <c r="B23" s="38" t="s">
        <v>65</v>
      </c>
      <c r="C23" s="70"/>
      <c r="D23" s="64"/>
      <c r="E23" s="73">
        <v>1</v>
      </c>
      <c r="F23" s="72" t="s">
        <v>62</v>
      </c>
      <c r="G23" s="68"/>
      <c r="H23" s="46"/>
      <c r="I23" s="67"/>
      <c r="J23" s="68"/>
      <c r="K23" s="46"/>
      <c r="L23" s="46"/>
      <c r="M23" s="44"/>
      <c r="N23" s="44"/>
      <c r="O23" s="44"/>
      <c r="P23" s="44"/>
      <c r="Q23" s="44"/>
      <c r="R23" s="48"/>
      <c r="S23" s="49"/>
      <c r="T23" s="49"/>
      <c r="U23" s="49"/>
      <c r="V23" s="49"/>
      <c r="W23" s="49"/>
    </row>
    <row r="24" spans="1:23" s="31" customFormat="1" ht="8.25">
      <c r="A24" s="44"/>
      <c r="B24" s="74" t="s">
        <v>66</v>
      </c>
      <c r="C24" s="75"/>
      <c r="D24" s="75"/>
      <c r="E24" s="76">
        <f>SUM(E22:E23)</f>
        <v>7.088157807584999</v>
      </c>
      <c r="F24" s="72" t="s">
        <v>62</v>
      </c>
      <c r="G24" s="57"/>
      <c r="H24" s="68"/>
      <c r="I24" s="77"/>
      <c r="K24" s="32"/>
      <c r="L24" s="32"/>
      <c r="N24" s="95"/>
      <c r="O24" s="95"/>
      <c r="P24" s="95"/>
      <c r="Q24" s="95"/>
      <c r="R24" s="95"/>
      <c r="S24" s="95"/>
      <c r="T24" s="95"/>
      <c r="U24" s="95"/>
      <c r="V24" s="95"/>
      <c r="W24" s="49"/>
    </row>
    <row r="25" spans="1:23" s="31" customFormat="1" ht="8.25">
      <c r="A25" s="44"/>
      <c r="B25" s="57"/>
      <c r="C25" s="78"/>
      <c r="D25" s="75"/>
      <c r="E25" s="79">
        <f>C11</f>
        <v>1530</v>
      </c>
      <c r="F25" s="72" t="s">
        <v>51</v>
      </c>
      <c r="G25" s="57"/>
      <c r="H25" s="68"/>
      <c r="I25" s="77"/>
      <c r="K25" s="32"/>
      <c r="L25" s="32"/>
      <c r="P25" s="57"/>
      <c r="Q25" s="57"/>
      <c r="R25" s="62"/>
      <c r="S25" s="63"/>
      <c r="T25" s="49"/>
      <c r="U25" s="49"/>
      <c r="V25" s="35"/>
      <c r="W25" s="49"/>
    </row>
    <row r="26" spans="1:23" s="31" customFormat="1" ht="8.25">
      <c r="A26" s="44"/>
      <c r="B26" s="72" t="s">
        <v>67</v>
      </c>
      <c r="C26" s="78"/>
      <c r="D26" s="74"/>
      <c r="E26" s="79">
        <f>SUM(W11:W12)*1.15</f>
        <v>4.8576</v>
      </c>
      <c r="F26" s="72" t="s">
        <v>63</v>
      </c>
      <c r="G26" s="57"/>
      <c r="H26" s="68"/>
      <c r="I26" s="77"/>
      <c r="K26" s="32"/>
      <c r="L26" s="32"/>
      <c r="P26" s="57"/>
      <c r="Q26" s="57"/>
      <c r="R26" s="62"/>
      <c r="S26" s="57"/>
      <c r="T26" s="44"/>
      <c r="U26" s="44"/>
      <c r="W26" s="49"/>
    </row>
    <row r="27" spans="1:23" s="31" customFormat="1" ht="8.25">
      <c r="A27" s="44"/>
      <c r="B27" s="80" t="s">
        <v>68</v>
      </c>
      <c r="C27" s="60"/>
      <c r="D27" s="60"/>
      <c r="E27" s="72" t="s">
        <v>127</v>
      </c>
      <c r="F27" s="57"/>
      <c r="G27" s="57"/>
      <c r="H27" s="68"/>
      <c r="I27" s="77"/>
      <c r="K27" s="32"/>
      <c r="L27" s="32"/>
      <c r="P27" s="57"/>
      <c r="Q27" s="57"/>
      <c r="R27" s="62"/>
      <c r="S27" s="57"/>
      <c r="T27" s="44"/>
      <c r="U27" s="44"/>
      <c r="W27" s="49"/>
    </row>
    <row r="28" spans="2:23" s="31" customFormat="1" ht="8.25">
      <c r="B28" s="81"/>
      <c r="C28" s="60"/>
      <c r="D28" s="60"/>
      <c r="E28" s="82"/>
      <c r="F28" s="57"/>
      <c r="H28" s="32"/>
      <c r="I28" s="33"/>
      <c r="K28" s="32"/>
      <c r="L28" s="32"/>
      <c r="R28" s="37"/>
      <c r="W28" s="35"/>
    </row>
    <row r="29" spans="2:23" s="31" customFormat="1" ht="8.25">
      <c r="B29" s="31" t="s">
        <v>69</v>
      </c>
      <c r="C29" s="31" t="s">
        <v>70</v>
      </c>
      <c r="F29" s="32"/>
      <c r="I29" s="83"/>
      <c r="J29" s="32"/>
      <c r="L29" s="32"/>
      <c r="R29" s="37"/>
      <c r="W29" s="35"/>
    </row>
    <row r="30" spans="2:23" s="31" customFormat="1" ht="8.25">
      <c r="B30" s="31" t="s">
        <v>33</v>
      </c>
      <c r="C30" s="31" t="s">
        <v>71</v>
      </c>
      <c r="F30" s="32"/>
      <c r="I30" s="83"/>
      <c r="J30" s="32"/>
      <c r="L30" s="32"/>
      <c r="R30" s="37"/>
      <c r="W30" s="35"/>
    </row>
    <row r="31" spans="2:23" s="31" customFormat="1" ht="8.25">
      <c r="B31" s="31" t="s">
        <v>34</v>
      </c>
      <c r="C31" s="31" t="s">
        <v>72</v>
      </c>
      <c r="F31" s="32"/>
      <c r="I31" s="83"/>
      <c r="J31" s="32"/>
      <c r="L31" s="32"/>
      <c r="R31" s="37"/>
      <c r="W31" s="35"/>
    </row>
    <row r="32" spans="2:23" s="31" customFormat="1" ht="8.25">
      <c r="B32" s="31" t="s">
        <v>35</v>
      </c>
      <c r="C32" s="31" t="s">
        <v>73</v>
      </c>
      <c r="F32" s="32"/>
      <c r="I32" s="83"/>
      <c r="J32" s="32"/>
      <c r="L32" s="32"/>
      <c r="R32" s="37"/>
      <c r="W32" s="35"/>
    </row>
    <row r="33" spans="2:23" s="31" customFormat="1" ht="8.25">
      <c r="B33" s="31" t="s">
        <v>36</v>
      </c>
      <c r="C33" s="31" t="s">
        <v>74</v>
      </c>
      <c r="F33" s="32"/>
      <c r="I33" s="83"/>
      <c r="J33" s="32"/>
      <c r="L33" s="32"/>
      <c r="R33" s="37"/>
      <c r="W33" s="35"/>
    </row>
    <row r="34" spans="2:23" s="31" customFormat="1" ht="8.25">
      <c r="B34" s="31" t="s">
        <v>37</v>
      </c>
      <c r="C34" s="31" t="s">
        <v>75</v>
      </c>
      <c r="F34" s="32"/>
      <c r="I34" s="83"/>
      <c r="J34" s="32"/>
      <c r="L34" s="32"/>
      <c r="R34" s="37"/>
      <c r="W34" s="35"/>
    </row>
    <row r="35" spans="2:23" s="31" customFormat="1" ht="8.25">
      <c r="B35" s="31" t="s">
        <v>76</v>
      </c>
      <c r="C35" s="31" t="s">
        <v>77</v>
      </c>
      <c r="F35" s="32"/>
      <c r="I35" s="83"/>
      <c r="J35" s="32"/>
      <c r="L35" s="32"/>
      <c r="R35" s="37"/>
      <c r="W35" s="35"/>
    </row>
    <row r="36" spans="2:23" s="31" customFormat="1" ht="8.25">
      <c r="B36" s="31" t="s">
        <v>39</v>
      </c>
      <c r="C36" s="31" t="s">
        <v>78</v>
      </c>
      <c r="F36" s="32"/>
      <c r="I36" s="83"/>
      <c r="J36" s="32"/>
      <c r="L36" s="32"/>
      <c r="R36" s="37"/>
      <c r="W36" s="35"/>
    </row>
    <row r="37" spans="2:23" s="31" customFormat="1" ht="8.25">
      <c r="B37" s="31" t="s">
        <v>79</v>
      </c>
      <c r="D37" s="31" t="s">
        <v>80</v>
      </c>
      <c r="I37" s="83"/>
      <c r="J37" s="32"/>
      <c r="L37" s="32"/>
      <c r="R37" s="37"/>
      <c r="W37" s="35"/>
    </row>
    <row r="38" spans="2:23" s="31" customFormat="1" ht="8.25">
      <c r="B38" s="31" t="s">
        <v>81</v>
      </c>
      <c r="D38" s="31" t="s">
        <v>82</v>
      </c>
      <c r="I38" s="83"/>
      <c r="J38" s="32"/>
      <c r="R38" s="37"/>
      <c r="W38" s="35"/>
    </row>
    <row r="39" spans="2:23" s="31" customFormat="1" ht="8.25">
      <c r="B39" s="31" t="s">
        <v>83</v>
      </c>
      <c r="D39" s="31" t="s">
        <v>84</v>
      </c>
      <c r="I39" s="83"/>
      <c r="J39" s="32"/>
      <c r="R39" s="37"/>
      <c r="W39" s="35"/>
    </row>
    <row r="40" spans="2:23" s="31" customFormat="1" ht="8.25">
      <c r="B40" s="31" t="s">
        <v>42</v>
      </c>
      <c r="D40" s="31" t="s">
        <v>85</v>
      </c>
      <c r="I40" s="83"/>
      <c r="J40" s="32"/>
      <c r="R40" s="37"/>
      <c r="W40" s="35"/>
    </row>
    <row r="41" spans="2:23" s="31" customFormat="1" ht="8.25">
      <c r="B41" s="31" t="s">
        <v>44</v>
      </c>
      <c r="D41" s="31" t="s">
        <v>86</v>
      </c>
      <c r="I41" s="83"/>
      <c r="J41" s="32"/>
      <c r="R41" s="37"/>
      <c r="W41" s="35"/>
    </row>
    <row r="42" spans="2:23" s="31" customFormat="1" ht="8.25">
      <c r="B42" s="31" t="s">
        <v>45</v>
      </c>
      <c r="D42" s="31" t="s">
        <v>87</v>
      </c>
      <c r="I42" s="83"/>
      <c r="J42" s="32"/>
      <c r="R42" s="37"/>
      <c r="W42" s="35"/>
    </row>
    <row r="43" spans="2:23" s="31" customFormat="1" ht="8.25">
      <c r="B43" s="31" t="s">
        <v>88</v>
      </c>
      <c r="D43" s="31" t="s">
        <v>89</v>
      </c>
      <c r="I43" s="83"/>
      <c r="J43" s="32"/>
      <c r="R43" s="37"/>
      <c r="W43" s="35"/>
    </row>
    <row r="44" spans="2:23" s="31" customFormat="1" ht="8.25">
      <c r="B44" s="31" t="s">
        <v>90</v>
      </c>
      <c r="D44" s="31" t="s">
        <v>91</v>
      </c>
      <c r="I44" s="83"/>
      <c r="J44" s="32"/>
      <c r="R44" s="37"/>
      <c r="W44" s="35"/>
    </row>
    <row r="45" spans="2:23" s="31" customFormat="1" ht="8.25">
      <c r="B45" s="31" t="s">
        <v>48</v>
      </c>
      <c r="D45" s="31" t="s">
        <v>92</v>
      </c>
      <c r="I45" s="83"/>
      <c r="J45" s="32"/>
      <c r="K45" s="31" t="s">
        <v>93</v>
      </c>
      <c r="R45" s="37"/>
      <c r="W45" s="35"/>
    </row>
  </sheetData>
  <sheetProtection selectLockedCells="1" selectUnlockedCells="1"/>
  <mergeCells count="4">
    <mergeCell ref="A2:F2"/>
    <mergeCell ref="A8:B8"/>
    <mergeCell ref="E8:F8"/>
    <mergeCell ref="N24:V2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W41"/>
  <sheetViews>
    <sheetView zoomScale="145" zoomScaleNormal="145" workbookViewId="0" topLeftCell="A1">
      <selection activeCell="E23" sqref="E23"/>
    </sheetView>
  </sheetViews>
  <sheetFormatPr defaultColWidth="11.421875" defaultRowHeight="12.75"/>
  <cols>
    <col min="1" max="1" width="2.57421875" style="29" customWidth="1"/>
    <col min="2" max="2" width="2.421875" style="29" customWidth="1"/>
    <col min="3" max="3" width="5.421875" style="29" customWidth="1"/>
    <col min="4" max="4" width="5.8515625" style="29" customWidth="1"/>
    <col min="5" max="5" width="4.421875" style="29" customWidth="1"/>
    <col min="6" max="6" width="4.28125" style="29" customWidth="1"/>
    <col min="7" max="7" width="5.28125" style="29" customWidth="1"/>
    <col min="8" max="8" width="0" style="29" hidden="1" customWidth="1"/>
    <col min="9" max="9" width="5.140625" style="29" customWidth="1"/>
    <col min="10" max="12" width="0" style="29" hidden="1" customWidth="1"/>
    <col min="13" max="13" width="4.00390625" style="29" customWidth="1"/>
    <col min="14" max="14" width="4.8515625" style="29" customWidth="1"/>
    <col min="15" max="15" width="3.57421875" style="29" customWidth="1"/>
    <col min="16" max="16" width="0" style="29" hidden="1" customWidth="1"/>
    <col min="17" max="17" width="5.00390625" style="29" customWidth="1"/>
    <col min="18" max="18" width="5.8515625" style="30" customWidth="1"/>
    <col min="19" max="19" width="5.421875" style="29" customWidth="1"/>
    <col min="20" max="20" width="6.8515625" style="29" customWidth="1"/>
    <col min="21" max="21" width="5.8515625" style="29" customWidth="1"/>
    <col min="22" max="22" width="6.7109375" style="29" customWidth="1"/>
    <col min="23" max="23" width="8.00390625" style="29" hidden="1" customWidth="1"/>
    <col min="24" max="16384" width="11.421875" style="29" customWidth="1"/>
  </cols>
  <sheetData>
    <row r="2" spans="1:23" s="31" customFormat="1" ht="8.25">
      <c r="A2" s="96" t="s">
        <v>124</v>
      </c>
      <c r="B2" s="96"/>
      <c r="C2" s="96"/>
      <c r="D2" s="96"/>
      <c r="E2" s="96"/>
      <c r="F2" s="96"/>
      <c r="H2" s="32"/>
      <c r="I2" s="33"/>
      <c r="K2" s="32"/>
      <c r="L2" s="32"/>
      <c r="R2" s="34"/>
      <c r="W2" s="35"/>
    </row>
    <row r="3" spans="1:23" s="31" customFormat="1" ht="8.25">
      <c r="A3" s="36"/>
      <c r="B3" s="36"/>
      <c r="C3" s="36"/>
      <c r="D3" s="36"/>
      <c r="H3" s="32"/>
      <c r="I3" s="33"/>
      <c r="K3" s="32"/>
      <c r="L3" s="32"/>
      <c r="R3" s="37"/>
      <c r="W3" s="35"/>
    </row>
    <row r="4" spans="1:23" s="31" customFormat="1" ht="8.25">
      <c r="A4" s="36"/>
      <c r="B4" s="36"/>
      <c r="C4" s="36"/>
      <c r="D4" s="36"/>
      <c r="H4" s="32"/>
      <c r="I4" s="33"/>
      <c r="K4" s="32"/>
      <c r="L4" s="32"/>
      <c r="R4" s="37"/>
      <c r="W4" s="35"/>
    </row>
    <row r="5" spans="1:23" s="31" customFormat="1" ht="8.25">
      <c r="A5" s="31" t="s">
        <v>25</v>
      </c>
      <c r="E5" s="31" t="s">
        <v>94</v>
      </c>
      <c r="H5" s="32"/>
      <c r="I5" s="33"/>
      <c r="K5" s="32"/>
      <c r="L5" s="32"/>
      <c r="R5" s="37"/>
      <c r="W5" s="35"/>
    </row>
    <row r="6" spans="1:23" s="31" customFormat="1" ht="8.25">
      <c r="A6" s="31" t="s">
        <v>27</v>
      </c>
      <c r="E6" s="91">
        <v>4</v>
      </c>
      <c r="F6" s="31" t="s">
        <v>28</v>
      </c>
      <c r="H6" s="32"/>
      <c r="I6" s="33"/>
      <c r="K6" s="32"/>
      <c r="L6" s="32"/>
      <c r="R6" s="37"/>
      <c r="W6" s="35"/>
    </row>
    <row r="7" spans="1:23" s="31" customFormat="1" ht="8.25">
      <c r="A7" s="39"/>
      <c r="B7" s="39"/>
      <c r="C7" s="39"/>
      <c r="D7" s="39"/>
      <c r="E7" s="39"/>
      <c r="F7" s="39"/>
      <c r="G7" s="39"/>
      <c r="H7" s="40"/>
      <c r="I7" s="41"/>
      <c r="J7" s="39"/>
      <c r="K7" s="40"/>
      <c r="L7" s="40"/>
      <c r="M7" s="39"/>
      <c r="N7" s="39"/>
      <c r="O7" s="39"/>
      <c r="P7" s="39"/>
      <c r="Q7" s="39"/>
      <c r="R7" s="42"/>
      <c r="S7" s="39"/>
      <c r="T7" s="39"/>
      <c r="U7" s="39"/>
      <c r="V7" s="39"/>
      <c r="W7" s="43"/>
    </row>
    <row r="8" spans="1:23" s="31" customFormat="1" ht="8.25">
      <c r="A8" s="93" t="s">
        <v>29</v>
      </c>
      <c r="B8" s="93"/>
      <c r="C8" s="44" t="s">
        <v>30</v>
      </c>
      <c r="D8" s="44" t="s">
        <v>31</v>
      </c>
      <c r="E8" s="94" t="s">
        <v>32</v>
      </c>
      <c r="F8" s="94"/>
      <c r="G8" s="45" t="s">
        <v>33</v>
      </c>
      <c r="H8" s="46" t="s">
        <v>34</v>
      </c>
      <c r="I8" s="47" t="s">
        <v>35</v>
      </c>
      <c r="J8" s="44" t="s">
        <v>36</v>
      </c>
      <c r="K8" s="46" t="s">
        <v>37</v>
      </c>
      <c r="L8" s="46" t="s">
        <v>38</v>
      </c>
      <c r="M8" s="44" t="s">
        <v>39</v>
      </c>
      <c r="N8" s="44" t="s">
        <v>40</v>
      </c>
      <c r="O8" s="44" t="s">
        <v>40</v>
      </c>
      <c r="P8" s="44" t="s">
        <v>41</v>
      </c>
      <c r="Q8" s="44" t="s">
        <v>42</v>
      </c>
      <c r="R8" s="48" t="s">
        <v>43</v>
      </c>
      <c r="S8" s="44" t="s">
        <v>44</v>
      </c>
      <c r="T8" s="44" t="s">
        <v>45</v>
      </c>
      <c r="U8" s="44" t="s">
        <v>46</v>
      </c>
      <c r="V8" s="44" t="s">
        <v>47</v>
      </c>
      <c r="W8" s="49" t="s">
        <v>48</v>
      </c>
    </row>
    <row r="9" spans="1:23" s="31" customFormat="1" ht="8.25">
      <c r="A9" s="50" t="s">
        <v>49</v>
      </c>
      <c r="B9" s="50" t="s">
        <v>50</v>
      </c>
      <c r="C9" s="50" t="s">
        <v>51</v>
      </c>
      <c r="D9" s="50" t="s">
        <v>52</v>
      </c>
      <c r="E9" s="51" t="s">
        <v>53</v>
      </c>
      <c r="F9" s="51" t="s">
        <v>54</v>
      </c>
      <c r="G9" s="52" t="s">
        <v>55</v>
      </c>
      <c r="H9" s="53" t="s">
        <v>56</v>
      </c>
      <c r="I9" s="54" t="s">
        <v>28</v>
      </c>
      <c r="J9" s="50"/>
      <c r="K9" s="53"/>
      <c r="L9" s="53"/>
      <c r="M9" s="50" t="s">
        <v>56</v>
      </c>
      <c r="N9" s="50" t="s">
        <v>57</v>
      </c>
      <c r="O9" s="50" t="s">
        <v>58</v>
      </c>
      <c r="P9" s="50" t="s">
        <v>59</v>
      </c>
      <c r="Q9" s="50" t="s">
        <v>60</v>
      </c>
      <c r="R9" s="55" t="s">
        <v>61</v>
      </c>
      <c r="S9" s="50" t="s">
        <v>60</v>
      </c>
      <c r="T9" s="50" t="s">
        <v>62</v>
      </c>
      <c r="U9" s="50" t="s">
        <v>62</v>
      </c>
      <c r="V9" s="50" t="s">
        <v>62</v>
      </c>
      <c r="W9" s="56" t="s">
        <v>63</v>
      </c>
    </row>
    <row r="10" spans="1:23" s="31" customFormat="1" ht="8.25">
      <c r="A10" s="57"/>
      <c r="B10" s="57"/>
      <c r="C10" s="57"/>
      <c r="D10" s="57"/>
      <c r="E10" s="58"/>
      <c r="F10" s="58"/>
      <c r="G10" s="59"/>
      <c r="H10" s="60"/>
      <c r="I10" s="61"/>
      <c r="J10" s="57"/>
      <c r="K10" s="60"/>
      <c r="L10" s="60"/>
      <c r="M10" s="57"/>
      <c r="N10" s="57"/>
      <c r="O10" s="57"/>
      <c r="P10" s="57"/>
      <c r="Q10" s="57"/>
      <c r="R10" s="62"/>
      <c r="S10" s="57"/>
      <c r="T10" s="57"/>
      <c r="U10" s="57"/>
      <c r="V10" s="57"/>
      <c r="W10" s="63"/>
    </row>
    <row r="11" spans="1:23" s="31" customFormat="1" ht="8.25">
      <c r="A11" s="44">
        <v>1</v>
      </c>
      <c r="B11" s="44">
        <v>2</v>
      </c>
      <c r="C11" s="64">
        <f>90*17</f>
        <v>1530</v>
      </c>
      <c r="D11" s="64">
        <f>C11/E6/0.0036</f>
        <v>106250</v>
      </c>
      <c r="E11" s="65">
        <v>320</v>
      </c>
      <c r="F11" s="65">
        <v>320</v>
      </c>
      <c r="G11" s="66">
        <f>1.3*((E11*F11)^0.625)/(E11+F11)^0.25</f>
        <v>349.8129087455452</v>
      </c>
      <c r="H11" s="46">
        <f>2*(E11/1000)*(F11/1000)/(E11/1000+F11/1000)</f>
        <v>0.32</v>
      </c>
      <c r="I11" s="67">
        <f>C11/E11/F11/0.0036</f>
        <v>4.150390625</v>
      </c>
      <c r="J11" s="68">
        <f>H11*1.22*I11/(18.189*0.000001)</f>
        <v>89082.00010995659</v>
      </c>
      <c r="K11" s="46">
        <f>0.11*(0.00009/H11+68/J11)^0.25</f>
        <v>0.01977558417631491</v>
      </c>
      <c r="L11" s="46">
        <f>IF(K11&gt;0.018,K11,IF(K11&lt;0.018,0.85*K11+0.0028))</f>
        <v>0.01977558417631491</v>
      </c>
      <c r="M11" s="44">
        <v>3</v>
      </c>
      <c r="N11" s="44">
        <v>1</v>
      </c>
      <c r="O11" s="44">
        <v>1</v>
      </c>
      <c r="P11" s="44">
        <f>IF(F11/E11&lt;0.25,0.4,IF(AND(F11/E11&gt;0.25,F11/E11&lt;0.5),0.3,IF(AND(F11/E11&gt;0.55,F11/E11&lt;1),0.25,IF(AND(F11/E11&gt;0.99,F11/E11&lt;4),0.2))))</f>
        <v>0.2</v>
      </c>
      <c r="Q11" s="44">
        <v>3</v>
      </c>
      <c r="R11" s="69">
        <f>0.61*L11*I11^2/H11*0.102</f>
        <v>0.06623496281227853</v>
      </c>
      <c r="S11" s="49">
        <f>0.61*L11*M11*I11^2/H11*0.102</f>
        <v>0.19870488843683562</v>
      </c>
      <c r="T11" s="49">
        <f>N11*P11*(I11/4.04)^2</f>
        <v>0.2110790895511211</v>
      </c>
      <c r="U11" s="49">
        <f>O11*Q11</f>
        <v>3</v>
      </c>
      <c r="V11" s="49">
        <f>S11+T11+U11</f>
        <v>3.409783977987957</v>
      </c>
      <c r="W11" s="49">
        <f>M11*(2*E11+2*F11)*1.1/1000</f>
        <v>4.224</v>
      </c>
    </row>
    <row r="12" spans="1:23" s="31" customFormat="1" ht="8.25">
      <c r="A12" s="44">
        <v>2</v>
      </c>
      <c r="B12" s="44">
        <v>3</v>
      </c>
      <c r="C12" s="64">
        <f>90*17</f>
        <v>1530</v>
      </c>
      <c r="D12" s="64">
        <f>C12/I11/0.0036</f>
        <v>102400</v>
      </c>
      <c r="E12" s="65">
        <v>320</v>
      </c>
      <c r="F12" s="65">
        <v>320</v>
      </c>
      <c r="G12" s="66">
        <f>1.3*((E12*F12)^0.625)/(E12+F12)^0.25</f>
        <v>349.8129087455452</v>
      </c>
      <c r="H12" s="46">
        <f>2*(E12/1000)*(F12/1000)/(E12/1000+F12/1000)</f>
        <v>0.32</v>
      </c>
      <c r="I12" s="67">
        <f>C12/E12/F12/0.0036</f>
        <v>4.150390625</v>
      </c>
      <c r="J12" s="68">
        <f>H12*1.22*I12/(18.189*0.000001)</f>
        <v>89082.00010995659</v>
      </c>
      <c r="K12" s="46">
        <f>0.11*(0.00009/H12+68/J12)^0.25</f>
        <v>0.01977558417631491</v>
      </c>
      <c r="L12" s="46">
        <f>IF(K12&gt;0.018,K12,IF(K12&lt;0.018,0.85*K12+0.0028))</f>
        <v>0.01977558417631491</v>
      </c>
      <c r="M12" s="44">
        <v>2</v>
      </c>
      <c r="N12" s="44">
        <v>0</v>
      </c>
      <c r="O12" s="44">
        <v>0</v>
      </c>
      <c r="P12" s="44">
        <f>IF(F12/E12&lt;0.25,0.4,IF(AND(F12/E12&gt;0.25,F12/E12&lt;0.5),0.3,IF(AND(F12/E12&gt;0.55,F12/E12&lt;1),0.25,IF(AND(F12/E12&gt;0.99,F12/E12&lt;4),0.2))))</f>
        <v>0.2</v>
      </c>
      <c r="Q12" s="44">
        <v>0</v>
      </c>
      <c r="R12" s="69">
        <f>0.61*L12*I12^2/H12*0.102</f>
        <v>0.06623496281227853</v>
      </c>
      <c r="S12" s="49">
        <f>0.61*L12*M12*I12^2/H12*0.102</f>
        <v>0.13246992562455706</v>
      </c>
      <c r="T12" s="49">
        <f>N12*P12*(I12/4.04)^2</f>
        <v>0</v>
      </c>
      <c r="U12" s="49">
        <f>O12*Q12</f>
        <v>0</v>
      </c>
      <c r="V12" s="49">
        <f>S12+T12+U12</f>
        <v>0.13246992562455706</v>
      </c>
      <c r="W12" s="49"/>
    </row>
    <row r="13" spans="1:23" s="31" customFormat="1" ht="8.25">
      <c r="A13" s="44">
        <v>3</v>
      </c>
      <c r="B13" s="44">
        <v>4</v>
      </c>
      <c r="C13" s="64">
        <f>90*11</f>
        <v>990</v>
      </c>
      <c r="D13" s="64">
        <f>C13/I12/0.0036</f>
        <v>66258.82352941176</v>
      </c>
      <c r="E13" s="65">
        <v>274</v>
      </c>
      <c r="F13" s="65">
        <v>274</v>
      </c>
      <c r="G13" s="66">
        <f>1.3*((E13*F13)^0.625)/(E13+F13)^0.25</f>
        <v>299.52730311337325</v>
      </c>
      <c r="H13" s="46">
        <f>2*(E13/1000)*(F13/1000)/(E13/1000+F13/1000)</f>
        <v>0.274</v>
      </c>
      <c r="I13" s="67">
        <f>C13/E13/F13/0.0036</f>
        <v>3.6629548723959724</v>
      </c>
      <c r="J13" s="68">
        <f>H13*1.22*I13/(18.189*0.000001)</f>
        <v>67318.29978253483</v>
      </c>
      <c r="K13" s="46">
        <f>0.11*(0.00009/H13+68/J13)^0.25</f>
        <v>0.021040442892546963</v>
      </c>
      <c r="L13" s="46">
        <f>IF(K13&gt;0.018,K13,IF(K13&lt;0.018,0.85*K13+0.0028))</f>
        <v>0.021040442892546963</v>
      </c>
      <c r="M13" s="44">
        <v>3</v>
      </c>
      <c r="N13" s="44">
        <v>0</v>
      </c>
      <c r="O13" s="44">
        <v>0</v>
      </c>
      <c r="P13" s="44">
        <f>IF(F13/E13&lt;0.25,0.4,IF(AND(F13/E13&gt;0.25,F13/E13&lt;0.5),0.3,IF(AND(F13/E13&gt;0.55,F13/E13&lt;1),0.25,IF(AND(F13/E13&gt;0.99,F13/E13&lt;4),0.2))))</f>
        <v>0.2</v>
      </c>
      <c r="Q13" s="44">
        <v>0</v>
      </c>
      <c r="R13" s="69">
        <f>0.61*L13*I13^2/H13*0.102</f>
        <v>0.06410581968355684</v>
      </c>
      <c r="S13" s="49">
        <f>0.61*L13*M13*I13^2/H13*0.102</f>
        <v>0.19231745905067055</v>
      </c>
      <c r="T13" s="49">
        <f>N13*P13*(I13/4.04)^2</f>
        <v>0</v>
      </c>
      <c r="U13" s="49">
        <f>O13*Q13</f>
        <v>0</v>
      </c>
      <c r="V13" s="49">
        <f>S13+T13+U13</f>
        <v>0.19231745905067055</v>
      </c>
      <c r="W13" s="49"/>
    </row>
    <row r="14" spans="1:23" s="31" customFormat="1" ht="8.25">
      <c r="A14" s="44">
        <v>4</v>
      </c>
      <c r="B14" s="44">
        <v>5</v>
      </c>
      <c r="C14" s="64">
        <f>90*5</f>
        <v>450</v>
      </c>
      <c r="D14" s="64">
        <f>C14/I13/0.0036</f>
        <v>34125.454545454544</v>
      </c>
      <c r="E14" s="65">
        <v>229</v>
      </c>
      <c r="F14" s="65">
        <v>229</v>
      </c>
      <c r="G14" s="66">
        <f>1.3*((E14*F14)^0.625)/(E14+F14)^0.25</f>
        <v>250.33486282103092</v>
      </c>
      <c r="H14" s="46">
        <f>2*(E14/1000)*(F14/1000)/(E14/1000+F14/1000)</f>
        <v>0.229</v>
      </c>
      <c r="I14" s="67">
        <f>C14/E14/F14/0.0036</f>
        <v>2.383631128315631</v>
      </c>
      <c r="J14" s="68">
        <f>H14*1.22*I14/(18.189*0.000001)</f>
        <v>36612.17574516582</v>
      </c>
      <c r="K14" s="46">
        <f>0.11*(0.00009/H14+68/J14)^0.25</f>
        <v>0.023958172842206915</v>
      </c>
      <c r="L14" s="46">
        <f>IF(K14&gt;0.018,K14,IF(K14&lt;0.018,0.85*K14+0.0028))</f>
        <v>0.023958172842206915</v>
      </c>
      <c r="M14" s="44">
        <v>7</v>
      </c>
      <c r="N14" s="44">
        <v>1</v>
      </c>
      <c r="O14" s="44">
        <v>0</v>
      </c>
      <c r="P14" s="44">
        <f>IF(F14/E14&lt;0.25,0.4,IF(AND(F14/E14&gt;0.25,F14/E14&lt;0.5),0.3,IF(AND(F14/E14&gt;0.55,F14/E14&lt;1),0.25,IF(AND(F14/E14&gt;0.99,F14/E14&lt;4),0.2))))</f>
        <v>0.2</v>
      </c>
      <c r="Q14" s="44">
        <v>0</v>
      </c>
      <c r="R14" s="69">
        <f>0.61*L14*I14^2/H14*0.102</f>
        <v>0.03698505891324064</v>
      </c>
      <c r="S14" s="49">
        <f>0.61*L14*M14*I14^2/H14*0.102</f>
        <v>0.2588954123926845</v>
      </c>
      <c r="T14" s="49">
        <f>N14*P14*(I14/4.04)^2</f>
        <v>0.06962181839862817</v>
      </c>
      <c r="U14" s="49">
        <f>O14*Q14</f>
        <v>0</v>
      </c>
      <c r="V14" s="49">
        <f>S14+T14+U14</f>
        <v>0.3285172307913127</v>
      </c>
      <c r="W14" s="49"/>
    </row>
    <row r="15" spans="1:23" s="31" customFormat="1" ht="8.25">
      <c r="A15" s="44">
        <v>5</v>
      </c>
      <c r="B15" s="44">
        <v>6</v>
      </c>
      <c r="C15" s="64">
        <f>90*4</f>
        <v>360</v>
      </c>
      <c r="D15" s="64">
        <f>C15/I14/0.0036</f>
        <v>41952.8</v>
      </c>
      <c r="E15" s="65">
        <v>183</v>
      </c>
      <c r="F15" s="65">
        <v>183</v>
      </c>
      <c r="G15" s="66">
        <f>1.3*((E15*F15)^0.625)/(E15+F15)^0.25</f>
        <v>200.04925718885883</v>
      </c>
      <c r="H15" s="46">
        <f>2*(E15/1000)*(F15/1000)/(E15/1000+F15/1000)</f>
        <v>0.183</v>
      </c>
      <c r="I15" s="67">
        <f>C15/E15/F15/0.0036</f>
        <v>2.986055122577563</v>
      </c>
      <c r="J15" s="68">
        <f>H15*1.22*I15/(18.189*0.000001)</f>
        <v>36652.18905199114</v>
      </c>
      <c r="K15" s="46">
        <f>0.11*(0.00009/H15+68/J15)^0.25</f>
        <v>0.024211668414237227</v>
      </c>
      <c r="L15" s="46">
        <f>IF(K15&gt;0.018,K15,IF(K15&lt;0.018,0.85*K15+0.0028))</f>
        <v>0.024211668414237227</v>
      </c>
      <c r="M15" s="44">
        <v>3</v>
      </c>
      <c r="N15" s="44">
        <v>1</v>
      </c>
      <c r="O15" s="44">
        <v>1</v>
      </c>
      <c r="P15" s="44">
        <f>IF(F15/E15&lt;0.25,0.4,IF(AND(F15/E15&gt;0.25,F15/E15&lt;0.5),0.3,IF(AND(F15/E15&gt;0.55,F15/E15&lt;1),0.25,IF(AND(F15/E15&gt;0.99,F15/E15&lt;4),0.2))))</f>
        <v>0.2</v>
      </c>
      <c r="Q15" s="44">
        <v>2</v>
      </c>
      <c r="R15" s="69">
        <f>0.61*L15*I15^2/H15*0.102</f>
        <v>0.07340054348629112</v>
      </c>
      <c r="S15" s="49">
        <f>0.61*L15*M15*I15^2/H15*0.102</f>
        <v>0.22020163045887334</v>
      </c>
      <c r="T15" s="49">
        <f>N15*P15*(I15/4.04)^2</f>
        <v>0.10926043028957587</v>
      </c>
      <c r="U15" s="49">
        <f>O15*Q15</f>
        <v>2</v>
      </c>
      <c r="V15" s="49">
        <f>S15+T15+U15</f>
        <v>2.3294620607484493</v>
      </c>
      <c r="W15" s="49"/>
    </row>
    <row r="16" spans="1:23" s="31" customFormat="1" ht="8.25">
      <c r="A16" s="38"/>
      <c r="B16" s="44"/>
      <c r="C16" s="70"/>
      <c r="D16" s="64"/>
      <c r="E16" s="64"/>
      <c r="F16" s="64"/>
      <c r="G16" s="68"/>
      <c r="H16" s="46"/>
      <c r="I16" s="67"/>
      <c r="J16" s="68"/>
      <c r="K16" s="46"/>
      <c r="L16" s="46"/>
      <c r="M16" s="44"/>
      <c r="N16" s="44"/>
      <c r="O16" s="44"/>
      <c r="P16" s="44"/>
      <c r="Q16" s="44"/>
      <c r="R16" s="48"/>
      <c r="S16" s="49"/>
      <c r="T16" s="49"/>
      <c r="U16" s="49"/>
      <c r="V16" s="49"/>
      <c r="W16" s="49"/>
    </row>
    <row r="17" spans="1:23" s="31" customFormat="1" ht="8.25">
      <c r="A17" s="38"/>
      <c r="B17" s="44"/>
      <c r="C17" s="70"/>
      <c r="D17" s="64"/>
      <c r="E17" s="64"/>
      <c r="F17" s="64"/>
      <c r="G17" s="68"/>
      <c r="H17" s="46"/>
      <c r="I17" s="67"/>
      <c r="J17" s="68"/>
      <c r="K17" s="46"/>
      <c r="L17" s="46"/>
      <c r="M17" s="44"/>
      <c r="N17" s="44"/>
      <c r="O17" s="44"/>
      <c r="P17" s="44"/>
      <c r="Q17" s="44"/>
      <c r="R17" s="48"/>
      <c r="S17" s="49"/>
      <c r="T17" s="49"/>
      <c r="U17" s="49"/>
      <c r="V17" s="49"/>
      <c r="W17" s="49"/>
    </row>
    <row r="18" spans="1:23" s="31" customFormat="1" ht="8.25">
      <c r="A18" s="38"/>
      <c r="B18" s="38" t="s">
        <v>64</v>
      </c>
      <c r="C18" s="70"/>
      <c r="D18" s="64"/>
      <c r="E18" s="71">
        <f>SUM(V11:V15)</f>
        <v>6.392550654202946</v>
      </c>
      <c r="F18" s="72" t="s">
        <v>62</v>
      </c>
      <c r="G18" s="68"/>
      <c r="H18" s="46"/>
      <c r="I18" s="67"/>
      <c r="J18" s="68"/>
      <c r="K18" s="46"/>
      <c r="L18" s="46"/>
      <c r="M18" s="44"/>
      <c r="N18" s="44"/>
      <c r="O18" s="44"/>
      <c r="P18" s="44"/>
      <c r="Q18" s="44"/>
      <c r="R18" s="48"/>
      <c r="S18" s="49"/>
      <c r="T18" s="49"/>
      <c r="U18" s="49"/>
      <c r="V18" s="49"/>
      <c r="W18" s="49"/>
    </row>
    <row r="19" spans="1:23" s="31" customFormat="1" ht="8.25">
      <c r="A19" s="38"/>
      <c r="B19" s="38" t="s">
        <v>65</v>
      </c>
      <c r="C19" s="70"/>
      <c r="D19" s="64"/>
      <c r="E19" s="73">
        <v>35</v>
      </c>
      <c r="F19" s="72" t="s">
        <v>62</v>
      </c>
      <c r="G19" s="68"/>
      <c r="H19" s="46"/>
      <c r="I19" s="67"/>
      <c r="J19" s="68"/>
      <c r="K19" s="46"/>
      <c r="L19" s="46"/>
      <c r="M19" s="44"/>
      <c r="N19" s="44"/>
      <c r="O19" s="44"/>
      <c r="P19" s="44"/>
      <c r="Q19" s="44"/>
      <c r="R19" s="48"/>
      <c r="S19" s="49"/>
      <c r="T19" s="49"/>
      <c r="U19" s="49"/>
      <c r="V19" s="49"/>
      <c r="W19" s="49"/>
    </row>
    <row r="20" spans="1:23" s="31" customFormat="1" ht="8.25">
      <c r="A20" s="44"/>
      <c r="B20" s="74" t="s">
        <v>66</v>
      </c>
      <c r="C20" s="75"/>
      <c r="D20" s="75"/>
      <c r="E20" s="76">
        <f>SUM(E18:E19)</f>
        <v>41.39255065420295</v>
      </c>
      <c r="F20" s="72" t="s">
        <v>62</v>
      </c>
      <c r="G20" s="57"/>
      <c r="H20" s="68"/>
      <c r="I20" s="77"/>
      <c r="K20" s="32"/>
      <c r="L20" s="32"/>
      <c r="N20" s="95"/>
      <c r="O20" s="95"/>
      <c r="P20" s="95"/>
      <c r="Q20" s="95"/>
      <c r="R20" s="95"/>
      <c r="S20" s="95"/>
      <c r="T20" s="95"/>
      <c r="U20" s="95"/>
      <c r="V20" s="95"/>
      <c r="W20" s="49"/>
    </row>
    <row r="21" spans="1:23" s="31" customFormat="1" ht="8.25">
      <c r="A21" s="44"/>
      <c r="B21" s="57"/>
      <c r="C21" s="78"/>
      <c r="D21" s="75"/>
      <c r="E21" s="79">
        <f>C11</f>
        <v>1530</v>
      </c>
      <c r="F21" s="72" t="s">
        <v>51</v>
      </c>
      <c r="G21" s="57"/>
      <c r="H21" s="68"/>
      <c r="I21" s="77"/>
      <c r="K21" s="32"/>
      <c r="L21" s="32"/>
      <c r="P21" s="57"/>
      <c r="Q21" s="57"/>
      <c r="R21" s="62"/>
      <c r="S21" s="63"/>
      <c r="T21" s="49"/>
      <c r="U21" s="49"/>
      <c r="V21" s="35"/>
      <c r="W21" s="49"/>
    </row>
    <row r="22" spans="1:23" s="31" customFormat="1" ht="8.25">
      <c r="A22" s="44"/>
      <c r="B22" s="72" t="s">
        <v>67</v>
      </c>
      <c r="C22" s="78"/>
      <c r="D22" s="74"/>
      <c r="E22" s="79">
        <f>SUM(W11:W12)*1.15</f>
        <v>4.8576</v>
      </c>
      <c r="F22" s="72" t="s">
        <v>63</v>
      </c>
      <c r="G22" s="57"/>
      <c r="H22" s="68"/>
      <c r="I22" s="77"/>
      <c r="K22" s="32"/>
      <c r="L22" s="32"/>
      <c r="P22" s="57"/>
      <c r="Q22" s="57"/>
      <c r="R22" s="62"/>
      <c r="S22" s="57"/>
      <c r="T22" s="44"/>
      <c r="U22" s="44"/>
      <c r="W22" s="49"/>
    </row>
    <row r="23" spans="1:23" s="31" customFormat="1" ht="8.25">
      <c r="A23" s="44"/>
      <c r="B23" s="80" t="s">
        <v>68</v>
      </c>
      <c r="C23" s="60"/>
      <c r="D23" s="60"/>
      <c r="E23" s="72" t="s">
        <v>127</v>
      </c>
      <c r="F23" s="57"/>
      <c r="G23" s="57"/>
      <c r="H23" s="68"/>
      <c r="I23" s="77"/>
      <c r="K23" s="32"/>
      <c r="L23" s="32"/>
      <c r="P23" s="57"/>
      <c r="Q23" s="57"/>
      <c r="R23" s="62"/>
      <c r="S23" s="57"/>
      <c r="T23" s="44"/>
      <c r="U23" s="44"/>
      <c r="W23" s="49"/>
    </row>
    <row r="24" spans="2:23" s="31" customFormat="1" ht="8.25">
      <c r="B24" s="81"/>
      <c r="C24" s="60"/>
      <c r="D24" s="60"/>
      <c r="E24" s="82"/>
      <c r="F24" s="57"/>
      <c r="H24" s="32"/>
      <c r="I24" s="33"/>
      <c r="K24" s="32"/>
      <c r="L24" s="32"/>
      <c r="R24" s="37"/>
      <c r="W24" s="35"/>
    </row>
    <row r="25" spans="2:23" s="31" customFormat="1" ht="8.25">
      <c r="B25" s="31" t="s">
        <v>69</v>
      </c>
      <c r="C25" s="31" t="s">
        <v>70</v>
      </c>
      <c r="F25" s="32"/>
      <c r="I25" s="83"/>
      <c r="J25" s="32"/>
      <c r="L25" s="32"/>
      <c r="R25" s="37"/>
      <c r="W25" s="35"/>
    </row>
    <row r="26" spans="2:23" s="31" customFormat="1" ht="8.25">
      <c r="B26" s="31" t="s">
        <v>33</v>
      </c>
      <c r="C26" s="31" t="s">
        <v>71</v>
      </c>
      <c r="F26" s="32"/>
      <c r="I26" s="83"/>
      <c r="J26" s="32"/>
      <c r="L26" s="32"/>
      <c r="R26" s="37"/>
      <c r="W26" s="35"/>
    </row>
    <row r="27" spans="2:23" s="31" customFormat="1" ht="8.25">
      <c r="B27" s="31" t="s">
        <v>34</v>
      </c>
      <c r="C27" s="31" t="s">
        <v>72</v>
      </c>
      <c r="F27" s="32"/>
      <c r="I27" s="83"/>
      <c r="J27" s="32"/>
      <c r="L27" s="32"/>
      <c r="R27" s="37"/>
      <c r="W27" s="35"/>
    </row>
    <row r="28" spans="2:23" s="31" customFormat="1" ht="8.25">
      <c r="B28" s="31" t="s">
        <v>35</v>
      </c>
      <c r="C28" s="31" t="s">
        <v>73</v>
      </c>
      <c r="F28" s="32"/>
      <c r="I28" s="83"/>
      <c r="J28" s="32"/>
      <c r="L28" s="32"/>
      <c r="R28" s="37"/>
      <c r="W28" s="35"/>
    </row>
    <row r="29" spans="2:23" s="31" customFormat="1" ht="8.25">
      <c r="B29" s="31" t="s">
        <v>36</v>
      </c>
      <c r="C29" s="31" t="s">
        <v>74</v>
      </c>
      <c r="F29" s="32"/>
      <c r="I29" s="83"/>
      <c r="J29" s="32"/>
      <c r="L29" s="32"/>
      <c r="R29" s="37"/>
      <c r="W29" s="35"/>
    </row>
    <row r="30" spans="2:23" s="31" customFormat="1" ht="8.25">
      <c r="B30" s="31" t="s">
        <v>37</v>
      </c>
      <c r="C30" s="31" t="s">
        <v>75</v>
      </c>
      <c r="F30" s="32"/>
      <c r="I30" s="83"/>
      <c r="J30" s="32"/>
      <c r="L30" s="32"/>
      <c r="R30" s="37"/>
      <c r="W30" s="35"/>
    </row>
    <row r="31" spans="2:23" s="31" customFormat="1" ht="8.25">
      <c r="B31" s="31" t="s">
        <v>76</v>
      </c>
      <c r="C31" s="31" t="s">
        <v>77</v>
      </c>
      <c r="F31" s="32"/>
      <c r="I31" s="83"/>
      <c r="J31" s="32"/>
      <c r="L31" s="32"/>
      <c r="R31" s="37"/>
      <c r="W31" s="35"/>
    </row>
    <row r="32" spans="2:23" s="31" customFormat="1" ht="8.25">
      <c r="B32" s="31" t="s">
        <v>39</v>
      </c>
      <c r="C32" s="31" t="s">
        <v>78</v>
      </c>
      <c r="F32" s="32"/>
      <c r="I32" s="83"/>
      <c r="J32" s="32"/>
      <c r="L32" s="32"/>
      <c r="R32" s="37"/>
      <c r="W32" s="35"/>
    </row>
    <row r="33" spans="2:23" s="31" customFormat="1" ht="8.25">
      <c r="B33" s="31" t="s">
        <v>79</v>
      </c>
      <c r="D33" s="31" t="s">
        <v>80</v>
      </c>
      <c r="I33" s="83"/>
      <c r="J33" s="32"/>
      <c r="L33" s="32"/>
      <c r="R33" s="37"/>
      <c r="W33" s="35"/>
    </row>
    <row r="34" spans="2:23" s="31" customFormat="1" ht="8.25">
      <c r="B34" s="31" t="s">
        <v>81</v>
      </c>
      <c r="D34" s="31" t="s">
        <v>82</v>
      </c>
      <c r="I34" s="83"/>
      <c r="J34" s="32"/>
      <c r="R34" s="37"/>
      <c r="W34" s="35"/>
    </row>
    <row r="35" spans="2:23" s="31" customFormat="1" ht="8.25">
      <c r="B35" s="31" t="s">
        <v>83</v>
      </c>
      <c r="D35" s="31" t="s">
        <v>84</v>
      </c>
      <c r="I35" s="83"/>
      <c r="J35" s="32"/>
      <c r="R35" s="37"/>
      <c r="W35" s="35"/>
    </row>
    <row r="36" spans="2:23" s="31" customFormat="1" ht="8.25">
      <c r="B36" s="31" t="s">
        <v>42</v>
      </c>
      <c r="D36" s="31" t="s">
        <v>85</v>
      </c>
      <c r="I36" s="83"/>
      <c r="J36" s="32"/>
      <c r="R36" s="37"/>
      <c r="W36" s="35"/>
    </row>
    <row r="37" spans="2:23" s="31" customFormat="1" ht="8.25">
      <c r="B37" s="31" t="s">
        <v>44</v>
      </c>
      <c r="D37" s="31" t="s">
        <v>86</v>
      </c>
      <c r="I37" s="83"/>
      <c r="J37" s="32"/>
      <c r="R37" s="37"/>
      <c r="W37" s="35"/>
    </row>
    <row r="38" spans="2:23" s="31" customFormat="1" ht="8.25">
      <c r="B38" s="31" t="s">
        <v>45</v>
      </c>
      <c r="D38" s="31" t="s">
        <v>87</v>
      </c>
      <c r="I38" s="83"/>
      <c r="J38" s="32"/>
      <c r="R38" s="37"/>
      <c r="W38" s="35"/>
    </row>
    <row r="39" spans="2:23" s="31" customFormat="1" ht="8.25">
      <c r="B39" s="31" t="s">
        <v>88</v>
      </c>
      <c r="D39" s="31" t="s">
        <v>89</v>
      </c>
      <c r="I39" s="83"/>
      <c r="J39" s="32"/>
      <c r="R39" s="37"/>
      <c r="W39" s="35"/>
    </row>
    <row r="40" spans="2:23" s="31" customFormat="1" ht="8.25">
      <c r="B40" s="31" t="s">
        <v>90</v>
      </c>
      <c r="D40" s="31" t="s">
        <v>91</v>
      </c>
      <c r="I40" s="83"/>
      <c r="J40" s="32"/>
      <c r="R40" s="37"/>
      <c r="W40" s="35"/>
    </row>
    <row r="41" spans="2:23" s="31" customFormat="1" ht="8.25">
      <c r="B41" s="31" t="s">
        <v>48</v>
      </c>
      <c r="D41" s="31" t="s">
        <v>92</v>
      </c>
      <c r="I41" s="83"/>
      <c r="J41" s="32"/>
      <c r="K41" s="31" t="s">
        <v>93</v>
      </c>
      <c r="R41" s="37"/>
      <c r="W41" s="35"/>
    </row>
  </sheetData>
  <sheetProtection selectLockedCells="1" selectUnlockedCells="1"/>
  <mergeCells count="4">
    <mergeCell ref="A2:F2"/>
    <mergeCell ref="A8:B8"/>
    <mergeCell ref="E8:F8"/>
    <mergeCell ref="N20:V2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Particular</cp:lastModifiedBy>
  <cp:lastPrinted>2015-05-07T13:30:03Z</cp:lastPrinted>
  <dcterms:modified xsi:type="dcterms:W3CDTF">2015-08-13T08:06:34Z</dcterms:modified>
  <cp:category/>
  <cp:version/>
  <cp:contentType/>
  <cp:contentStatus/>
</cp:coreProperties>
</file>